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Default Extension="vml" ContentType="application/vnd.openxmlformats-officedocument.vmlDrawing"/>
  <Override PartName="/xl/drawings/drawing12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/>
  <bookViews>
    <workbookView xWindow="-132" yWindow="948" windowWidth="15420" windowHeight="6288" tabRatio="870" activeTab="19"/>
  </bookViews>
  <sheets>
    <sheet name="SI_1" sheetId="47" r:id="rId1"/>
    <sheet name="COCOCO" sheetId="49" r:id="rId2"/>
    <sheet name="SI_1A(COMUNI-PROVINCE-CITTA_ME)" sheetId="70" r:id="rId3"/>
    <sheet name="SI_1A(UNIONE_COMUNI)" sheetId="71" r:id="rId4"/>
    <sheet name="SI_1A(COMUNITA_MONTANE)" sheetId="69" r:id="rId5"/>
    <sheet name="SI_1A_CONV" sheetId="72" r:id="rId6"/>
    <sheet name="t1" sheetId="2" r:id="rId7"/>
    <sheet name="t2" sheetId="11" r:id="rId8"/>
    <sheet name="t2A" sheetId="53" r:id="rId9"/>
    <sheet name="t3" sheetId="20" r:id="rId10"/>
    <sheet name="t4" sheetId="9" r:id="rId11"/>
    <sheet name="t5" sheetId="8" r:id="rId12"/>
    <sheet name="t6" sheetId="7" r:id="rId13"/>
    <sheet name="t7" sheetId="6" r:id="rId14"/>
    <sheet name="t8" sheetId="5" r:id="rId15"/>
    <sheet name="t9" sheetId="4" r:id="rId16"/>
    <sheet name="t10" sheetId="18" r:id="rId17"/>
    <sheet name="t11" sheetId="43" r:id="rId18"/>
    <sheet name="t12" sheetId="15" r:id="rId19"/>
    <sheet name="t13" sheetId="14" r:id="rId20"/>
    <sheet name="t14" sheetId="23" r:id="rId21"/>
    <sheet name="t15(1)" sheetId="94" r:id="rId22"/>
    <sheet name="t15(2)" sheetId="95" r:id="rId23"/>
    <sheet name="SICI(1)" sheetId="96" r:id="rId24"/>
    <sheet name="SICI(2)" sheetId="97" r:id="rId25"/>
    <sheet name="Tabella Riconciliazione" sheetId="65" r:id="rId26"/>
    <sheet name="Valori Medi" sheetId="58" r:id="rId27"/>
    <sheet name="Squadratura 1" sheetId="31" r:id="rId28"/>
    <sheet name="Squadratura 2" sheetId="30" r:id="rId29"/>
    <sheet name="Squadratura 3" sheetId="32" r:id="rId30"/>
    <sheet name="Squadratura 4" sheetId="33" r:id="rId31"/>
    <sheet name="Squadratura 7" sheetId="63" r:id="rId32"/>
    <sheet name="Incongruenze 1 e 11" sheetId="35" r:id="rId33"/>
    <sheet name="Incongruenza 2" sheetId="29" r:id="rId34"/>
    <sheet name="Incongruenze 3, 12 e 13" sheetId="68" r:id="rId35"/>
    <sheet name="Incongruenza 4 e controlli t14" sheetId="46" r:id="rId36"/>
    <sheet name="Incongruenza 5" sheetId="44" r:id="rId37"/>
    <sheet name="Incongruenza 6" sheetId="45" r:id="rId38"/>
    <sheet name="Incongruenza 7" sheetId="48" r:id="rId39"/>
    <sheet name="Incongruenza 8" sheetId="64" r:id="rId40"/>
    <sheet name="Incongruenza 10" sheetId="73" r:id="rId41"/>
    <sheet name="Incongruenza 14" sheetId="85" r:id="rId42"/>
  </sheets>
  <externalReferences>
    <externalReference r:id="rId43"/>
    <externalReference r:id="rId44"/>
    <externalReference r:id="rId45"/>
  </externalReferences>
  <definedNames>
    <definedName name="_xlnm._FilterDatabase" localSheetId="14" hidden="1">'t8'!$A$3:$AB$50</definedName>
    <definedName name="_xlnm.Print_Area" localSheetId="1">COCOCO!$A$1:$H$27</definedName>
    <definedName name="_xlnm.Print_Area" localSheetId="32">'Incongruenze 1 e 11'!$A$1:$E$21</definedName>
    <definedName name="_xlnm.Print_Area" localSheetId="34">'Incongruenze 3, 12 e 13'!$A$1:$D$7</definedName>
    <definedName name="_xlnm.Print_Area" localSheetId="0">SI_1!$A$1:$H$168</definedName>
    <definedName name="_xlnm.Print_Area" localSheetId="2">'SI_1A(COMUNI-PROVINCE-CITTA_ME)'!$A$1:$H$180</definedName>
    <definedName name="_xlnm.Print_Area" localSheetId="4">'SI_1A(COMUNITA_MONTANE)'!$A$1:$H$180</definedName>
    <definedName name="_xlnm.Print_Area" localSheetId="3">'SI_1A(UNIONE_COMUNI)'!$A$1:$H$180</definedName>
    <definedName name="_xlnm.Print_Area" localSheetId="5">SI_1A_CONV!$A$1:$H$162</definedName>
    <definedName name="_xlnm.Print_Area" localSheetId="23">'SICI(1)'!$A$1:$E$95</definedName>
    <definedName name="_xlnm.Print_Area" localSheetId="24">'SICI(2)'!$A$1:$E$99</definedName>
    <definedName name="_xlnm.Print_Area" localSheetId="27">'Squadratura 1'!$A$1:$J$50</definedName>
    <definedName name="_xlnm.Print_Area" localSheetId="28">'Squadratura 2'!$A$1:$L$51</definedName>
    <definedName name="_xlnm.Print_Area" localSheetId="29">'Squadratura 3'!$A$1:$AB$52</definedName>
    <definedName name="_xlnm.Print_Area" localSheetId="30">'Squadratura 4'!$A$1:$I$50</definedName>
    <definedName name="_xlnm.Print_Area" localSheetId="31">'Squadratura 7'!$A$1:$D$24</definedName>
    <definedName name="_xlnm.Print_Area" localSheetId="6">'t1'!$A$1:$AK$200</definedName>
    <definedName name="_xlnm.Print_Area" localSheetId="16">'t10'!$A$1:$AV$52</definedName>
    <definedName name="_xlnm.Print_Area" localSheetId="17">'t11'!$A$1:$BA$54</definedName>
    <definedName name="_xlnm.Print_Area" localSheetId="18">'t12'!$A$1:$AI$54</definedName>
    <definedName name="_xlnm.Print_Area" localSheetId="19">'t13'!$A$1:$BB$53</definedName>
    <definedName name="_xlnm.Print_Area" localSheetId="20">'t14'!$A$1:$H$38</definedName>
    <definedName name="_xlnm.Print_Area" localSheetId="21">'t15(1)'!$A$1:$G$41</definedName>
    <definedName name="_xlnm.Print_Area" localSheetId="22">'t15(2)'!$A$1:$G$44</definedName>
    <definedName name="_xlnm.Print_Area" localSheetId="8">t2A!$A$1:$S$18</definedName>
    <definedName name="_xlnm.Print_Area" localSheetId="9">'t3'!$A$1:$R$55</definedName>
    <definedName name="_xlnm.Print_Area" localSheetId="10" xml:space="preserve">   't4'!$A$1:$AU$52</definedName>
    <definedName name="_xlnm.Print_Area" localSheetId="11">'t5'!$A$1:$T$54</definedName>
    <definedName name="_xlnm.Print_Area" localSheetId="13">'t7'!$A$1:$X$52</definedName>
    <definedName name="_xlnm.Print_Area" localSheetId="14">'t8'!$A$1:$AB$53</definedName>
    <definedName name="_xlnm.Print_Area" localSheetId="15">'t9'!$A$1:$P$52</definedName>
    <definedName name="_xlnm.Print_Area" localSheetId="26">'Valori Medi'!$A$1:$T$52</definedName>
    <definedName name="CODI_ISTITUZIONE" localSheetId="23">#REF!</definedName>
    <definedName name="CODI_ISTITUZIONE">#REF!</definedName>
    <definedName name="CODI_ISTITUZIONE2" localSheetId="41">#REF!</definedName>
    <definedName name="CODI_ISTITUZIONE2" localSheetId="39">#REF!</definedName>
    <definedName name="CODI_ISTITUZIONE2" localSheetId="34">#REF!</definedName>
    <definedName name="CODI_ISTITUZIONE2" localSheetId="5">#REF!</definedName>
    <definedName name="CODI_ISTITUZIONE2" localSheetId="23">#REF!</definedName>
    <definedName name="CODI_ISTITUZIONE2" localSheetId="24">#REF!</definedName>
    <definedName name="CODI_ISTITUZIONE2" localSheetId="31">#REF!</definedName>
    <definedName name="CODI_ISTITUZIONE2">#REF!</definedName>
    <definedName name="DESC_ISTITUZIONE" localSheetId="23">#REF!</definedName>
    <definedName name="DESC_ISTITUZIONE">#REF!</definedName>
    <definedName name="DESC_ISTITUZIONE2" localSheetId="41">#REF!</definedName>
    <definedName name="DESC_ISTITUZIONE2" localSheetId="39">#REF!</definedName>
    <definedName name="DESC_ISTITUZIONE2" localSheetId="34">#REF!</definedName>
    <definedName name="DESC_ISTITUZIONE2" localSheetId="5">#REF!</definedName>
    <definedName name="DESC_ISTITUZIONE2" localSheetId="23">#REF!</definedName>
    <definedName name="DESC_ISTITUZIONE2" localSheetId="24">#REF!</definedName>
    <definedName name="DESC_ISTITUZIONE2" localSheetId="31">#REF!</definedName>
    <definedName name="DESC_ISTITUZIONE2">#REF!</definedName>
    <definedName name="_xlnm.Print_Titles" localSheetId="32">'Incongruenze 1 e 11'!#REF!</definedName>
    <definedName name="_xlnm.Print_Titles" localSheetId="34">'Incongruenze 3, 12 e 13'!$4:$4</definedName>
    <definedName name="_xlnm.Print_Titles" localSheetId="27">'Squadratura 1'!#REF!</definedName>
    <definedName name="_xlnm.Print_Titles" localSheetId="28">'Squadratura 2'!#REF!</definedName>
    <definedName name="_xlnm.Print_Titles" localSheetId="29">'Squadratura 3'!#REF!</definedName>
    <definedName name="_xlnm.Print_Titles" localSheetId="30">'Squadratura 4'!#REF!</definedName>
    <definedName name="_xlnm.Print_Titles" localSheetId="31">'Squadratura 7'!#REF!</definedName>
    <definedName name="_xlnm.Print_Titles" localSheetId="6">'t1'!$1:$5</definedName>
    <definedName name="_xlnm.Print_Titles" localSheetId="16">'t10'!$A:$B,'t10'!$1:$2</definedName>
    <definedName name="_xlnm.Print_Titles" localSheetId="18">'t12'!$1:$5</definedName>
    <definedName name="_xlnm.Print_Titles" localSheetId="19">'t13'!$1:$5</definedName>
    <definedName name="_xlnm.Print_Titles" localSheetId="22">'t15(2)'!$3:$4</definedName>
    <definedName name="_xlnm.Print_Titles" localSheetId="7">'t2'!$1:$5</definedName>
    <definedName name="_xlnm.Print_Titles" localSheetId="10">'t4'!$A:$B,'t4'!$1:$5</definedName>
    <definedName name="_xlnm.Print_Titles" localSheetId="26">'Valori Medi'!$A:$E,'Valori Medi'!$4:$5</definedName>
  </definedNames>
  <calcPr calcId="125725" fullCalcOnLoad="1" fullPrecision="0"/>
</workbook>
</file>

<file path=xl/calcChain.xml><?xml version="1.0" encoding="utf-8"?>
<calcChain xmlns="http://schemas.openxmlformats.org/spreadsheetml/2006/main">
  <c r="F21" i="97"/>
  <c r="F19"/>
  <c r="F17"/>
  <c r="F21" i="96"/>
  <c r="F19"/>
  <c r="F17"/>
  <c r="H40" i="70"/>
  <c r="H26"/>
  <c r="H25"/>
  <c r="F6" i="97"/>
  <c r="A6"/>
  <c r="F6" i="96"/>
  <c r="F193" i="47"/>
  <c r="A6" i="96"/>
  <c r="A1" i="95"/>
  <c r="A1" i="94"/>
  <c r="F99" i="97"/>
  <c r="N98"/>
  <c r="M98"/>
  <c r="L98"/>
  <c r="K98"/>
  <c r="F96"/>
  <c r="N95"/>
  <c r="M95"/>
  <c r="L95"/>
  <c r="K95"/>
  <c r="N91"/>
  <c r="M91"/>
  <c r="L91"/>
  <c r="K91"/>
  <c r="N89"/>
  <c r="M89"/>
  <c r="L89"/>
  <c r="K89"/>
  <c r="F89"/>
  <c r="N87"/>
  <c r="M87"/>
  <c r="L87"/>
  <c r="K87"/>
  <c r="F87"/>
  <c r="N83"/>
  <c r="M83"/>
  <c r="L83"/>
  <c r="K83"/>
  <c r="N81"/>
  <c r="M81"/>
  <c r="L81"/>
  <c r="K81"/>
  <c r="F81"/>
  <c r="N79"/>
  <c r="M79"/>
  <c r="L79"/>
  <c r="K79"/>
  <c r="F79"/>
  <c r="N77"/>
  <c r="M77"/>
  <c r="L77"/>
  <c r="K77"/>
  <c r="F77"/>
  <c r="N75"/>
  <c r="M75"/>
  <c r="L75"/>
  <c r="K75"/>
  <c r="F75"/>
  <c r="N73"/>
  <c r="M73"/>
  <c r="L73"/>
  <c r="K73"/>
  <c r="F73"/>
  <c r="N69"/>
  <c r="M69"/>
  <c r="L69"/>
  <c r="K69"/>
  <c r="F69"/>
  <c r="N67"/>
  <c r="M67"/>
  <c r="L67"/>
  <c r="K67"/>
  <c r="F67"/>
  <c r="N65"/>
  <c r="M65"/>
  <c r="L65"/>
  <c r="K65"/>
  <c r="F65"/>
  <c r="N63"/>
  <c r="M63"/>
  <c r="L63"/>
  <c r="K63"/>
  <c r="F63"/>
  <c r="N61"/>
  <c r="M61"/>
  <c r="L61"/>
  <c r="K61"/>
  <c r="F61"/>
  <c r="N59"/>
  <c r="M59"/>
  <c r="L59"/>
  <c r="K59"/>
  <c r="F59"/>
  <c r="N55"/>
  <c r="M55"/>
  <c r="L55"/>
  <c r="K55"/>
  <c r="F55"/>
  <c r="N53"/>
  <c r="M53"/>
  <c r="L53"/>
  <c r="K53"/>
  <c r="F53"/>
  <c r="N51"/>
  <c r="M51"/>
  <c r="L51"/>
  <c r="K51"/>
  <c r="F51"/>
  <c r="N49"/>
  <c r="M49"/>
  <c r="L49"/>
  <c r="K49"/>
  <c r="F49"/>
  <c r="N47"/>
  <c r="M47"/>
  <c r="L47"/>
  <c r="K47"/>
  <c r="F47"/>
  <c r="N45"/>
  <c r="M45"/>
  <c r="L45"/>
  <c r="K45"/>
  <c r="F45"/>
  <c r="N43"/>
  <c r="M43"/>
  <c r="L43"/>
  <c r="K43"/>
  <c r="F43"/>
  <c r="N41"/>
  <c r="M41"/>
  <c r="L41"/>
  <c r="K41"/>
  <c r="F41"/>
  <c r="N37"/>
  <c r="M37"/>
  <c r="L37"/>
  <c r="K37"/>
  <c r="F37"/>
  <c r="N35"/>
  <c r="M35"/>
  <c r="L35"/>
  <c r="K35"/>
  <c r="F35"/>
  <c r="N33"/>
  <c r="M33"/>
  <c r="L33"/>
  <c r="K33"/>
  <c r="F33"/>
  <c r="N31"/>
  <c r="M31"/>
  <c r="L31"/>
  <c r="K31"/>
  <c r="F31"/>
  <c r="N29"/>
  <c r="M29"/>
  <c r="L29"/>
  <c r="K29"/>
  <c r="F29"/>
  <c r="N27"/>
  <c r="M27"/>
  <c r="L27"/>
  <c r="K27"/>
  <c r="F27"/>
  <c r="N23"/>
  <c r="M23"/>
  <c r="L23"/>
  <c r="K23"/>
  <c r="F23"/>
  <c r="N21"/>
  <c r="M21"/>
  <c r="L21"/>
  <c r="K21"/>
  <c r="N19"/>
  <c r="M19"/>
  <c r="L19"/>
  <c r="K19"/>
  <c r="N17"/>
  <c r="M17"/>
  <c r="L17"/>
  <c r="K17"/>
  <c r="N15"/>
  <c r="M15"/>
  <c r="L15"/>
  <c r="K15"/>
  <c r="F15"/>
  <c r="N13"/>
  <c r="M13"/>
  <c r="L13"/>
  <c r="K13"/>
  <c r="F13"/>
  <c r="N9"/>
  <c r="F95" i="96"/>
  <c r="N94"/>
  <c r="M94"/>
  <c r="L94"/>
  <c r="K94"/>
  <c r="F92"/>
  <c r="N91"/>
  <c r="M91"/>
  <c r="L91"/>
  <c r="K91"/>
  <c r="N87"/>
  <c r="M87"/>
  <c r="L87"/>
  <c r="K87"/>
  <c r="F87"/>
  <c r="N85"/>
  <c r="M85"/>
  <c r="L85"/>
  <c r="K85"/>
  <c r="F85"/>
  <c r="N83"/>
  <c r="M83"/>
  <c r="L83"/>
  <c r="K83"/>
  <c r="F83"/>
  <c r="N81"/>
  <c r="M81"/>
  <c r="L81"/>
  <c r="K81"/>
  <c r="F81"/>
  <c r="N77"/>
  <c r="M77"/>
  <c r="L77"/>
  <c r="K77"/>
  <c r="F77"/>
  <c r="N75"/>
  <c r="M75"/>
  <c r="L75"/>
  <c r="K75"/>
  <c r="F75"/>
  <c r="N73"/>
  <c r="M73"/>
  <c r="L73"/>
  <c r="K73"/>
  <c r="F73"/>
  <c r="N71"/>
  <c r="M71"/>
  <c r="L71"/>
  <c r="K71"/>
  <c r="F71"/>
  <c r="N69"/>
  <c r="M69"/>
  <c r="L69"/>
  <c r="K69"/>
  <c r="N67"/>
  <c r="M67"/>
  <c r="L67"/>
  <c r="K67"/>
  <c r="F67"/>
  <c r="N65"/>
  <c r="M65"/>
  <c r="L65"/>
  <c r="K65"/>
  <c r="F65"/>
  <c r="N61"/>
  <c r="M61"/>
  <c r="L61"/>
  <c r="K61"/>
  <c r="F61"/>
  <c r="N59"/>
  <c r="M59"/>
  <c r="L59"/>
  <c r="K59"/>
  <c r="F59"/>
  <c r="N57"/>
  <c r="M57"/>
  <c r="L57"/>
  <c r="K57"/>
  <c r="F57"/>
  <c r="N55"/>
  <c r="M55"/>
  <c r="L55"/>
  <c r="K55"/>
  <c r="F55"/>
  <c r="N53"/>
  <c r="M53"/>
  <c r="L53"/>
  <c r="K53"/>
  <c r="F53"/>
  <c r="N51"/>
  <c r="M51"/>
  <c r="L51"/>
  <c r="K51"/>
  <c r="F51"/>
  <c r="N49"/>
  <c r="M49"/>
  <c r="L49"/>
  <c r="K49"/>
  <c r="F49"/>
  <c r="N47"/>
  <c r="M47"/>
  <c r="L47"/>
  <c r="K47"/>
  <c r="F47"/>
  <c r="N45"/>
  <c r="M45"/>
  <c r="L45"/>
  <c r="K45"/>
  <c r="F45"/>
  <c r="N43"/>
  <c r="M43"/>
  <c r="L43"/>
  <c r="K43"/>
  <c r="F43"/>
  <c r="N41"/>
  <c r="M41"/>
  <c r="L41"/>
  <c r="K41"/>
  <c r="F41"/>
  <c r="N37"/>
  <c r="M37"/>
  <c r="L37"/>
  <c r="K37"/>
  <c r="F37"/>
  <c r="N35"/>
  <c r="M35"/>
  <c r="L35"/>
  <c r="K35"/>
  <c r="F35"/>
  <c r="N33"/>
  <c r="M33"/>
  <c r="L33"/>
  <c r="K33"/>
  <c r="F33"/>
  <c r="N31"/>
  <c r="M31"/>
  <c r="L31"/>
  <c r="K31"/>
  <c r="F31"/>
  <c r="N29"/>
  <c r="M29"/>
  <c r="L29"/>
  <c r="K29"/>
  <c r="F29"/>
  <c r="N27"/>
  <c r="M27"/>
  <c r="L27"/>
  <c r="K27"/>
  <c r="F27"/>
  <c r="N23"/>
  <c r="M23"/>
  <c r="L23"/>
  <c r="K23"/>
  <c r="F23"/>
  <c r="N21"/>
  <c r="M21"/>
  <c r="L21"/>
  <c r="K21"/>
  <c r="N19"/>
  <c r="M19"/>
  <c r="L19"/>
  <c r="K19"/>
  <c r="N17"/>
  <c r="M17"/>
  <c r="L17"/>
  <c r="K17"/>
  <c r="N15"/>
  <c r="M15"/>
  <c r="L15"/>
  <c r="K15"/>
  <c r="F15"/>
  <c r="N13"/>
  <c r="M13"/>
  <c r="L13"/>
  <c r="K13"/>
  <c r="F13"/>
  <c r="N9"/>
  <c r="C189" i="47"/>
  <c r="C41" i="95"/>
  <c r="R40"/>
  <c r="Q40"/>
  <c r="R39"/>
  <c r="Q39"/>
  <c r="R38"/>
  <c r="Q38"/>
  <c r="C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G23"/>
  <c r="G24"/>
  <c r="G43"/>
  <c r="W22"/>
  <c r="V22"/>
  <c r="R22"/>
  <c r="Q22"/>
  <c r="W21"/>
  <c r="V21"/>
  <c r="R21"/>
  <c r="Q21"/>
  <c r="W20"/>
  <c r="V20"/>
  <c r="W19"/>
  <c r="V19"/>
  <c r="C19"/>
  <c r="C42"/>
  <c r="C43"/>
  <c r="W18"/>
  <c r="V18"/>
  <c r="R18"/>
  <c r="Q18"/>
  <c r="W17"/>
  <c r="V17"/>
  <c r="R17"/>
  <c r="Q17"/>
  <c r="W16"/>
  <c r="V16"/>
  <c r="R16"/>
  <c r="Q16"/>
  <c r="W15"/>
  <c r="V15"/>
  <c r="R15"/>
  <c r="Q15"/>
  <c r="W14"/>
  <c r="V14"/>
  <c r="R14"/>
  <c r="Q14"/>
  <c r="W13"/>
  <c r="V13"/>
  <c r="R13"/>
  <c r="Q13"/>
  <c r="W12"/>
  <c r="V12"/>
  <c r="R12"/>
  <c r="Q12"/>
  <c r="W11"/>
  <c r="V11"/>
  <c r="R11"/>
  <c r="Q11"/>
  <c r="W10"/>
  <c r="V10"/>
  <c r="R10"/>
  <c r="Q10"/>
  <c r="W9"/>
  <c r="V9"/>
  <c r="R9"/>
  <c r="Q9"/>
  <c r="W8"/>
  <c r="V8"/>
  <c r="R8"/>
  <c r="Q8"/>
  <c r="W7"/>
  <c r="V7"/>
  <c r="R7"/>
  <c r="Q7"/>
  <c r="C37" i="94"/>
  <c r="R36"/>
  <c r="Q36"/>
  <c r="R35"/>
  <c r="Q35"/>
  <c r="R34"/>
  <c r="Q34"/>
  <c r="R33"/>
  <c r="Q33"/>
  <c r="C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21"/>
  <c r="Q21"/>
  <c r="R20"/>
  <c r="Q20"/>
  <c r="C18"/>
  <c r="C38"/>
  <c r="C41"/>
  <c r="R17"/>
  <c r="Q17"/>
  <c r="R16"/>
  <c r="Q16"/>
  <c r="R15"/>
  <c r="Q15"/>
  <c r="R14"/>
  <c r="Q14"/>
  <c r="R13"/>
  <c r="Q13"/>
  <c r="R12"/>
  <c r="Q12"/>
  <c r="R11"/>
  <c r="Q11"/>
  <c r="R10"/>
  <c r="Q10"/>
  <c r="G10"/>
  <c r="G11"/>
  <c r="G41"/>
  <c r="W9"/>
  <c r="V9"/>
  <c r="R9"/>
  <c r="Q9"/>
  <c r="W8"/>
  <c r="V8"/>
  <c r="R8"/>
  <c r="Q8"/>
  <c r="W7"/>
  <c r="V7"/>
  <c r="R7"/>
  <c r="Q7"/>
  <c r="AD50" i="15"/>
  <c r="J52" i="69"/>
  <c r="H52"/>
  <c r="J49"/>
  <c r="H49"/>
  <c r="J47"/>
  <c r="H47"/>
  <c r="J52" i="71"/>
  <c r="H52"/>
  <c r="J49"/>
  <c r="H49"/>
  <c r="J47"/>
  <c r="H47"/>
  <c r="J40" i="70"/>
  <c r="G67"/>
  <c r="J52"/>
  <c r="H52"/>
  <c r="H49"/>
  <c r="J49"/>
  <c r="J47"/>
  <c r="H47"/>
  <c r="I31" i="58"/>
  <c r="I39"/>
  <c r="I47"/>
  <c r="AJ4" i="2"/>
  <c r="AA4"/>
  <c r="K31" i="58"/>
  <c r="K39"/>
  <c r="K47"/>
  <c r="J7" i="15"/>
  <c r="J8"/>
  <c r="J9"/>
  <c r="J10"/>
  <c r="J11"/>
  <c r="J12"/>
  <c r="J13"/>
  <c r="J14"/>
  <c r="J15"/>
  <c r="J16"/>
  <c r="J17"/>
  <c r="J18"/>
  <c r="J19"/>
  <c r="J20"/>
  <c r="J21"/>
  <c r="J22"/>
  <c r="J26"/>
  <c r="J27"/>
  <c r="J28"/>
  <c r="J31"/>
  <c r="J32"/>
  <c r="J33"/>
  <c r="J34"/>
  <c r="J35"/>
  <c r="J36"/>
  <c r="J37"/>
  <c r="J38"/>
  <c r="J39"/>
  <c r="J40"/>
  <c r="J41"/>
  <c r="J42"/>
  <c r="J43"/>
  <c r="J45"/>
  <c r="J47"/>
  <c r="J48"/>
  <c r="J49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6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J44"/>
  <c r="F45"/>
  <c r="F46"/>
  <c r="F47"/>
  <c r="F48"/>
  <c r="F49"/>
  <c r="F7"/>
  <c r="F8"/>
  <c r="F6"/>
  <c r="AE50"/>
  <c r="I122" i="69"/>
  <c r="H122"/>
  <c r="H104" i="71"/>
  <c r="I122"/>
  <c r="H122"/>
  <c r="I122" i="70"/>
  <c r="I180"/>
  <c r="J125"/>
  <c r="H125"/>
  <c r="G128"/>
  <c r="F130" i="71"/>
  <c r="F6" i="2"/>
  <c r="F23"/>
  <c r="F24"/>
  <c r="F25"/>
  <c r="I180" i="71"/>
  <c r="C12" i="63"/>
  <c r="H116" i="70"/>
  <c r="J116"/>
  <c r="J181"/>
  <c r="H119"/>
  <c r="C49" i="15"/>
  <c r="E49" i="85"/>
  <c r="C49" i="29"/>
  <c r="E49" s="1"/>
  <c r="G49" s="1"/>
  <c r="C48" i="15"/>
  <c r="E48" i="85"/>
  <c r="C47" i="15"/>
  <c r="E47" i="85"/>
  <c r="H47" s="1"/>
  <c r="C47" i="29"/>
  <c r="C46" i="15"/>
  <c r="E46" i="85"/>
  <c r="C45" i="15"/>
  <c r="E45" i="85"/>
  <c r="C44" i="15"/>
  <c r="E44" i="85"/>
  <c r="C43" i="15"/>
  <c r="E43" i="85"/>
  <c r="C42" i="15"/>
  <c r="E42" i="85"/>
  <c r="C41" i="15"/>
  <c r="E41" i="85"/>
  <c r="C40" i="15"/>
  <c r="E40" i="85"/>
  <c r="C39" i="15"/>
  <c r="E39" i="85"/>
  <c r="H39" s="1"/>
  <c r="G39" s="1"/>
  <c r="C38" i="15"/>
  <c r="E38" i="85"/>
  <c r="C37" i="15"/>
  <c r="E37" i="85"/>
  <c r="C36" i="15"/>
  <c r="E36" i="85"/>
  <c r="C35" i="15"/>
  <c r="E35" i="85"/>
  <c r="C34" i="15"/>
  <c r="E34" i="85"/>
  <c r="C33" i="15"/>
  <c r="E33" i="85"/>
  <c r="C32" i="15"/>
  <c r="E32" i="85"/>
  <c r="H32" s="1"/>
  <c r="C31" i="15"/>
  <c r="E31" i="85"/>
  <c r="C30" i="15"/>
  <c r="E30" i="85"/>
  <c r="C29" i="15"/>
  <c r="E29" i="85"/>
  <c r="C28" i="15"/>
  <c r="E28" i="85"/>
  <c r="C27" i="15"/>
  <c r="E27" i="85"/>
  <c r="C26" i="15"/>
  <c r="E26" i="85"/>
  <c r="C25" i="15"/>
  <c r="E25" i="85"/>
  <c r="H25" s="1"/>
  <c r="I25" s="1"/>
  <c r="C24" i="15"/>
  <c r="E24" i="85"/>
  <c r="C23" i="15"/>
  <c r="E23" i="85"/>
  <c r="C22" i="15"/>
  <c r="E22" i="85"/>
  <c r="C21" i="15"/>
  <c r="E21" i="85"/>
  <c r="C20" i="15"/>
  <c r="E20" i="85"/>
  <c r="H20" s="1"/>
  <c r="I20" s="1"/>
  <c r="C19" i="15"/>
  <c r="E19" i="85"/>
  <c r="C18" i="15"/>
  <c r="E18" i="85"/>
  <c r="H18"/>
  <c r="C17" i="15"/>
  <c r="E17" i="85"/>
  <c r="C16" i="15"/>
  <c r="E16" i="85"/>
  <c r="H16" s="1"/>
  <c r="C15" i="15"/>
  <c r="C14"/>
  <c r="E14" i="85"/>
  <c r="H14" s="1"/>
  <c r="C13" i="15"/>
  <c r="E13" i="85"/>
  <c r="C12" i="15"/>
  <c r="E12" i="85"/>
  <c r="C11" i="15"/>
  <c r="E11" i="85"/>
  <c r="C10" i="15"/>
  <c r="E10" i="85"/>
  <c r="C9" i="15"/>
  <c r="C8"/>
  <c r="E8" i="85"/>
  <c r="C7" i="15"/>
  <c r="E7" i="85"/>
  <c r="C6" i="15"/>
  <c r="E6" i="85"/>
  <c r="D6" i="15"/>
  <c r="D8"/>
  <c r="I7" i="14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6"/>
  <c r="AN50"/>
  <c r="A7" i="68"/>
  <c r="A14"/>
  <c r="F49" i="85"/>
  <c r="F48"/>
  <c r="F47"/>
  <c r="F46"/>
  <c r="F45"/>
  <c r="F44"/>
  <c r="F43"/>
  <c r="F42"/>
  <c r="F41"/>
  <c r="F40"/>
  <c r="F39"/>
  <c r="F38"/>
  <c r="F37"/>
  <c r="H37" s="1"/>
  <c r="G37" s="1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H12" s="1"/>
  <c r="G12" s="1"/>
  <c r="F11"/>
  <c r="F10"/>
  <c r="F9"/>
  <c r="F8"/>
  <c r="F7"/>
  <c r="F6"/>
  <c r="C13" i="35"/>
  <c r="C14"/>
  <c r="C15"/>
  <c r="C16"/>
  <c r="B5"/>
  <c r="D5" s="1"/>
  <c r="F178" i="47" s="1"/>
  <c r="C5" i="35"/>
  <c r="B6"/>
  <c r="C6"/>
  <c r="E6"/>
  <c r="B7"/>
  <c r="C7"/>
  <c r="E7"/>
  <c r="B20" i="68"/>
  <c r="A13"/>
  <c r="B13"/>
  <c r="B14"/>
  <c r="B49" i="85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G113" i="71"/>
  <c r="G110"/>
  <c r="G107"/>
  <c r="G113" i="69"/>
  <c r="G110"/>
  <c r="G107"/>
  <c r="G113" i="70"/>
  <c r="G110"/>
  <c r="G107"/>
  <c r="P10" i="11"/>
  <c r="O10"/>
  <c r="N10"/>
  <c r="M10"/>
  <c r="L10"/>
  <c r="K10"/>
  <c r="P9"/>
  <c r="O9"/>
  <c r="N9"/>
  <c r="M9"/>
  <c r="L9"/>
  <c r="K9"/>
  <c r="P8"/>
  <c r="O8"/>
  <c r="N8"/>
  <c r="M8"/>
  <c r="L8"/>
  <c r="K8"/>
  <c r="P7"/>
  <c r="O7"/>
  <c r="N7"/>
  <c r="M7"/>
  <c r="L7"/>
  <c r="K7"/>
  <c r="P6"/>
  <c r="O6"/>
  <c r="N6"/>
  <c r="M6"/>
  <c r="L6"/>
  <c r="K6"/>
  <c r="J10"/>
  <c r="I10"/>
  <c r="H10"/>
  <c r="G10"/>
  <c r="F10"/>
  <c r="E10"/>
  <c r="D10"/>
  <c r="C10"/>
  <c r="C10" i="73"/>
  <c r="J9" i="11"/>
  <c r="I9"/>
  <c r="H9"/>
  <c r="G9"/>
  <c r="F9"/>
  <c r="E9"/>
  <c r="D9"/>
  <c r="C9"/>
  <c r="C9" i="73"/>
  <c r="J8" i="11"/>
  <c r="I8"/>
  <c r="H8"/>
  <c r="G8"/>
  <c r="F8"/>
  <c r="E8"/>
  <c r="D8"/>
  <c r="C8"/>
  <c r="C8" i="73"/>
  <c r="J7" i="11"/>
  <c r="I7"/>
  <c r="H7"/>
  <c r="G7"/>
  <c r="F7"/>
  <c r="E7"/>
  <c r="D7"/>
  <c r="C7"/>
  <c r="C7" i="73"/>
  <c r="J6" i="11"/>
  <c r="I6"/>
  <c r="I11"/>
  <c r="H6"/>
  <c r="G6"/>
  <c r="G11"/>
  <c r="F6"/>
  <c r="E6"/>
  <c r="E11"/>
  <c r="D6"/>
  <c r="C6"/>
  <c r="AN11"/>
  <c r="AM11"/>
  <c r="AL11"/>
  <c r="AK11"/>
  <c r="AJ11"/>
  <c r="AI11"/>
  <c r="AH11"/>
  <c r="AG11"/>
  <c r="AF11"/>
  <c r="AE11"/>
  <c r="AD11"/>
  <c r="AC11"/>
  <c r="AB11"/>
  <c r="AA11"/>
  <c r="C29" i="23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V49" i="14"/>
  <c r="U49"/>
  <c r="T49"/>
  <c r="D49" i="64"/>
  <c r="S49" i="14"/>
  <c r="R49"/>
  <c r="Q49"/>
  <c r="P49"/>
  <c r="O49"/>
  <c r="N49"/>
  <c r="M49"/>
  <c r="L49"/>
  <c r="K49"/>
  <c r="J49"/>
  <c r="H49"/>
  <c r="G49"/>
  <c r="F49"/>
  <c r="E49"/>
  <c r="D49"/>
  <c r="C49"/>
  <c r="V48"/>
  <c r="U48"/>
  <c r="T48"/>
  <c r="D48" i="64"/>
  <c r="S48" i="14"/>
  <c r="R48"/>
  <c r="Q48"/>
  <c r="P48"/>
  <c r="O48"/>
  <c r="N48"/>
  <c r="M48"/>
  <c r="L48"/>
  <c r="K48"/>
  <c r="J48"/>
  <c r="H48"/>
  <c r="G48"/>
  <c r="F48"/>
  <c r="E48"/>
  <c r="D48"/>
  <c r="C48"/>
  <c r="V47"/>
  <c r="U47"/>
  <c r="T47"/>
  <c r="D47" i="64"/>
  <c r="S47" i="14"/>
  <c r="R47"/>
  <c r="Q47"/>
  <c r="P47"/>
  <c r="O47"/>
  <c r="N47"/>
  <c r="M47"/>
  <c r="L47"/>
  <c r="K47"/>
  <c r="J47"/>
  <c r="H47"/>
  <c r="G47"/>
  <c r="F47"/>
  <c r="E47"/>
  <c r="D47"/>
  <c r="C47"/>
  <c r="V46"/>
  <c r="U46"/>
  <c r="T46"/>
  <c r="D46" i="64"/>
  <c r="S46" i="14"/>
  <c r="R46"/>
  <c r="Q46"/>
  <c r="P46"/>
  <c r="O46"/>
  <c r="N46"/>
  <c r="M46"/>
  <c r="L46"/>
  <c r="K46"/>
  <c r="J46"/>
  <c r="H46"/>
  <c r="G46"/>
  <c r="F46"/>
  <c r="E46"/>
  <c r="D46"/>
  <c r="C46"/>
  <c r="V45"/>
  <c r="U45"/>
  <c r="T45"/>
  <c r="D45" i="64"/>
  <c r="S45" i="14"/>
  <c r="R45"/>
  <c r="Q45"/>
  <c r="P45"/>
  <c r="O45"/>
  <c r="N45"/>
  <c r="M45"/>
  <c r="L45"/>
  <c r="K45"/>
  <c r="J45"/>
  <c r="H45"/>
  <c r="G45"/>
  <c r="F45"/>
  <c r="E45"/>
  <c r="D45"/>
  <c r="C45"/>
  <c r="V44"/>
  <c r="U44"/>
  <c r="T44"/>
  <c r="D44" i="64"/>
  <c r="S44" i="14"/>
  <c r="R44"/>
  <c r="Q44"/>
  <c r="P44"/>
  <c r="O44"/>
  <c r="N44"/>
  <c r="M44"/>
  <c r="L44"/>
  <c r="K44"/>
  <c r="J44"/>
  <c r="H44"/>
  <c r="G44"/>
  <c r="F44"/>
  <c r="E44"/>
  <c r="D44"/>
  <c r="C44"/>
  <c r="W44"/>
  <c r="V43"/>
  <c r="U43"/>
  <c r="T43"/>
  <c r="D43" i="64"/>
  <c r="S43" i="14"/>
  <c r="R43"/>
  <c r="Q43"/>
  <c r="P43"/>
  <c r="O43"/>
  <c r="N43"/>
  <c r="M43"/>
  <c r="L43"/>
  <c r="K43"/>
  <c r="J43"/>
  <c r="H43"/>
  <c r="G43"/>
  <c r="F43"/>
  <c r="E43"/>
  <c r="D43"/>
  <c r="C43"/>
  <c r="V42"/>
  <c r="U42"/>
  <c r="T42"/>
  <c r="D42" i="64"/>
  <c r="S42" i="14"/>
  <c r="R42"/>
  <c r="Q42"/>
  <c r="P42"/>
  <c r="O42"/>
  <c r="N42"/>
  <c r="M42"/>
  <c r="L42"/>
  <c r="K42"/>
  <c r="J42"/>
  <c r="H42"/>
  <c r="G42"/>
  <c r="F42"/>
  <c r="E42"/>
  <c r="D42"/>
  <c r="C42"/>
  <c r="V41"/>
  <c r="U41"/>
  <c r="T41"/>
  <c r="D41" i="64"/>
  <c r="S41" i="14"/>
  <c r="R41"/>
  <c r="Q41"/>
  <c r="P41"/>
  <c r="O41"/>
  <c r="N41"/>
  <c r="M41"/>
  <c r="L41"/>
  <c r="K41"/>
  <c r="J41"/>
  <c r="H41"/>
  <c r="G41"/>
  <c r="F41"/>
  <c r="E41"/>
  <c r="D41"/>
  <c r="C41"/>
  <c r="V40"/>
  <c r="U40"/>
  <c r="T40"/>
  <c r="D40" i="64"/>
  <c r="S40" i="14"/>
  <c r="R40"/>
  <c r="Q40"/>
  <c r="P40"/>
  <c r="O40"/>
  <c r="N40"/>
  <c r="M40"/>
  <c r="L40"/>
  <c r="K40"/>
  <c r="J40"/>
  <c r="H40"/>
  <c r="G40"/>
  <c r="F40"/>
  <c r="E40"/>
  <c r="D40"/>
  <c r="C40"/>
  <c r="V39"/>
  <c r="U39"/>
  <c r="T39"/>
  <c r="D39" i="64"/>
  <c r="S39" i="14"/>
  <c r="R39"/>
  <c r="Q39"/>
  <c r="P39"/>
  <c r="O39"/>
  <c r="N39"/>
  <c r="M39"/>
  <c r="L39"/>
  <c r="K39"/>
  <c r="J39"/>
  <c r="H39"/>
  <c r="G39"/>
  <c r="F39"/>
  <c r="E39"/>
  <c r="D39"/>
  <c r="C39"/>
  <c r="W39"/>
  <c r="C39" i="64"/>
  <c r="V38" i="14"/>
  <c r="U38"/>
  <c r="T38"/>
  <c r="D38" i="64"/>
  <c r="S38" i="14"/>
  <c r="R38"/>
  <c r="Q38"/>
  <c r="P38"/>
  <c r="O38"/>
  <c r="N38"/>
  <c r="M38"/>
  <c r="L38"/>
  <c r="K38"/>
  <c r="J38"/>
  <c r="H38"/>
  <c r="G38"/>
  <c r="F38"/>
  <c r="E38"/>
  <c r="D38"/>
  <c r="C38"/>
  <c r="V37"/>
  <c r="U37"/>
  <c r="T37"/>
  <c r="D37" i="64"/>
  <c r="S37" i="14"/>
  <c r="R37"/>
  <c r="Q37"/>
  <c r="P37"/>
  <c r="O37"/>
  <c r="N37"/>
  <c r="M37"/>
  <c r="L37"/>
  <c r="K37"/>
  <c r="J37"/>
  <c r="H37"/>
  <c r="G37"/>
  <c r="F37"/>
  <c r="E37"/>
  <c r="D37"/>
  <c r="C37"/>
  <c r="V36"/>
  <c r="U36"/>
  <c r="T36"/>
  <c r="D36" i="64"/>
  <c r="S36" i="14"/>
  <c r="R36"/>
  <c r="Q36"/>
  <c r="P36"/>
  <c r="O36"/>
  <c r="N36"/>
  <c r="M36"/>
  <c r="L36"/>
  <c r="K36"/>
  <c r="J36"/>
  <c r="H36"/>
  <c r="G36"/>
  <c r="F36"/>
  <c r="E36"/>
  <c r="D36"/>
  <c r="C36"/>
  <c r="V35"/>
  <c r="U35"/>
  <c r="T35"/>
  <c r="D35" i="64"/>
  <c r="S35" i="14"/>
  <c r="R35"/>
  <c r="Q35"/>
  <c r="P35"/>
  <c r="O35"/>
  <c r="N35"/>
  <c r="M35"/>
  <c r="L35"/>
  <c r="K35"/>
  <c r="J35"/>
  <c r="H35"/>
  <c r="G35"/>
  <c r="F35"/>
  <c r="E35"/>
  <c r="D35"/>
  <c r="C35"/>
  <c r="W35"/>
  <c r="V34"/>
  <c r="U34"/>
  <c r="G34" i="64"/>
  <c r="T34" i="14"/>
  <c r="D34" i="64"/>
  <c r="S34" i="14"/>
  <c r="R34"/>
  <c r="Q34"/>
  <c r="P34"/>
  <c r="O34"/>
  <c r="N34"/>
  <c r="M34"/>
  <c r="L34"/>
  <c r="K34"/>
  <c r="J34"/>
  <c r="H34"/>
  <c r="G34"/>
  <c r="F34"/>
  <c r="E34"/>
  <c r="D34"/>
  <c r="C34"/>
  <c r="V33"/>
  <c r="U33"/>
  <c r="T33"/>
  <c r="D33" i="64"/>
  <c r="S33" i="14"/>
  <c r="R33"/>
  <c r="Q33"/>
  <c r="P33"/>
  <c r="O33"/>
  <c r="N33"/>
  <c r="M33"/>
  <c r="L33"/>
  <c r="K33"/>
  <c r="J33"/>
  <c r="H33"/>
  <c r="G33"/>
  <c r="F33"/>
  <c r="E33"/>
  <c r="D33"/>
  <c r="C33"/>
  <c r="V32"/>
  <c r="U32"/>
  <c r="T32"/>
  <c r="D32" i="64"/>
  <c r="S32" i="14"/>
  <c r="R32"/>
  <c r="Q32"/>
  <c r="P32"/>
  <c r="O32"/>
  <c r="N32"/>
  <c r="M32"/>
  <c r="L32"/>
  <c r="K32"/>
  <c r="J32"/>
  <c r="H32"/>
  <c r="G32"/>
  <c r="F32"/>
  <c r="E32"/>
  <c r="D32"/>
  <c r="C32"/>
  <c r="V31"/>
  <c r="U31"/>
  <c r="T31"/>
  <c r="D31" i="64"/>
  <c r="S31" i="14"/>
  <c r="R31"/>
  <c r="Q31"/>
  <c r="P31"/>
  <c r="O31"/>
  <c r="N31"/>
  <c r="M31"/>
  <c r="L31"/>
  <c r="K31"/>
  <c r="J31"/>
  <c r="H31"/>
  <c r="G31"/>
  <c r="F31"/>
  <c r="E31"/>
  <c r="D31"/>
  <c r="C31"/>
  <c r="V30"/>
  <c r="U30"/>
  <c r="T30"/>
  <c r="S30"/>
  <c r="R30"/>
  <c r="Q30"/>
  <c r="P30"/>
  <c r="O30"/>
  <c r="N30"/>
  <c r="M30"/>
  <c r="L30"/>
  <c r="K30"/>
  <c r="J30"/>
  <c r="H30"/>
  <c r="G30"/>
  <c r="F30"/>
  <c r="E30"/>
  <c r="D30"/>
  <c r="C30"/>
  <c r="V29"/>
  <c r="U29"/>
  <c r="T29"/>
  <c r="D29" i="64"/>
  <c r="S29" i="14"/>
  <c r="R29"/>
  <c r="Q29"/>
  <c r="P29"/>
  <c r="O29"/>
  <c r="N29"/>
  <c r="M29"/>
  <c r="L29"/>
  <c r="K29"/>
  <c r="J29"/>
  <c r="H29"/>
  <c r="G29"/>
  <c r="F29"/>
  <c r="E29"/>
  <c r="D29"/>
  <c r="C29"/>
  <c r="V28"/>
  <c r="U28"/>
  <c r="T28"/>
  <c r="D28" i="64"/>
  <c r="S28" i="14"/>
  <c r="R28"/>
  <c r="Q28"/>
  <c r="P28"/>
  <c r="O28"/>
  <c r="N28"/>
  <c r="M28"/>
  <c r="L28"/>
  <c r="K28"/>
  <c r="J28"/>
  <c r="H28"/>
  <c r="G28"/>
  <c r="F28"/>
  <c r="E28"/>
  <c r="D28"/>
  <c r="C28"/>
  <c r="W28"/>
  <c r="V27"/>
  <c r="U27"/>
  <c r="T27"/>
  <c r="S27"/>
  <c r="R27"/>
  <c r="Q27"/>
  <c r="P27"/>
  <c r="O27"/>
  <c r="N27"/>
  <c r="M27"/>
  <c r="L27"/>
  <c r="K27"/>
  <c r="J27"/>
  <c r="H27"/>
  <c r="G27"/>
  <c r="F27"/>
  <c r="E27"/>
  <c r="D27"/>
  <c r="C27"/>
  <c r="V26"/>
  <c r="U26"/>
  <c r="T26"/>
  <c r="D26" i="64"/>
  <c r="S26" i="14"/>
  <c r="R26"/>
  <c r="Q26"/>
  <c r="P26"/>
  <c r="O26"/>
  <c r="N26"/>
  <c r="M26"/>
  <c r="L26"/>
  <c r="K26"/>
  <c r="J26"/>
  <c r="H26"/>
  <c r="G26"/>
  <c r="F26"/>
  <c r="E26"/>
  <c r="D26"/>
  <c r="C26"/>
  <c r="W26"/>
  <c r="V25"/>
  <c r="U25"/>
  <c r="T25"/>
  <c r="D25" i="64"/>
  <c r="S25" i="14"/>
  <c r="R25"/>
  <c r="Q25"/>
  <c r="P25"/>
  <c r="O25"/>
  <c r="N25"/>
  <c r="M25"/>
  <c r="L25"/>
  <c r="K25"/>
  <c r="J25"/>
  <c r="H25"/>
  <c r="G25"/>
  <c r="F25"/>
  <c r="E25"/>
  <c r="D25"/>
  <c r="C25"/>
  <c r="V24"/>
  <c r="U24"/>
  <c r="T24"/>
  <c r="D24" i="64"/>
  <c r="S24" i="14"/>
  <c r="R24"/>
  <c r="Q24"/>
  <c r="P24"/>
  <c r="O24"/>
  <c r="N24"/>
  <c r="M24"/>
  <c r="L24"/>
  <c r="K24"/>
  <c r="J24"/>
  <c r="H24"/>
  <c r="G24"/>
  <c r="F24"/>
  <c r="E24"/>
  <c r="D24"/>
  <c r="C24"/>
  <c r="V23"/>
  <c r="U23"/>
  <c r="T23"/>
  <c r="D23" i="64"/>
  <c r="S23" i="14"/>
  <c r="R23"/>
  <c r="Q23"/>
  <c r="P23"/>
  <c r="O23"/>
  <c r="N23"/>
  <c r="M23"/>
  <c r="L23"/>
  <c r="K23"/>
  <c r="J23"/>
  <c r="H23"/>
  <c r="G23"/>
  <c r="F23"/>
  <c r="E23"/>
  <c r="D23"/>
  <c r="C23"/>
  <c r="W23"/>
  <c r="V22"/>
  <c r="U22"/>
  <c r="G22" i="64"/>
  <c r="T22" i="14"/>
  <c r="D22" i="64"/>
  <c r="S22" i="14"/>
  <c r="R22"/>
  <c r="Q22"/>
  <c r="P22"/>
  <c r="O22"/>
  <c r="N22"/>
  <c r="M22"/>
  <c r="L22"/>
  <c r="K22"/>
  <c r="J22"/>
  <c r="H22"/>
  <c r="G22"/>
  <c r="F22"/>
  <c r="E22"/>
  <c r="D22"/>
  <c r="C22"/>
  <c r="V21"/>
  <c r="U21"/>
  <c r="T21"/>
  <c r="D21" i="64"/>
  <c r="S21" i="14"/>
  <c r="R21"/>
  <c r="Q21"/>
  <c r="P21"/>
  <c r="O21"/>
  <c r="N21"/>
  <c r="M21"/>
  <c r="L21"/>
  <c r="K21"/>
  <c r="J21"/>
  <c r="H21"/>
  <c r="G21"/>
  <c r="F21"/>
  <c r="E21"/>
  <c r="D21"/>
  <c r="C21"/>
  <c r="V20"/>
  <c r="U20"/>
  <c r="T20"/>
  <c r="D20" i="64"/>
  <c r="S20" i="14"/>
  <c r="R20"/>
  <c r="Q20"/>
  <c r="P20"/>
  <c r="O20"/>
  <c r="N20"/>
  <c r="M20"/>
  <c r="L20"/>
  <c r="K20"/>
  <c r="J20"/>
  <c r="H20"/>
  <c r="G20"/>
  <c r="F20"/>
  <c r="E20"/>
  <c r="D20"/>
  <c r="C20"/>
  <c r="V19"/>
  <c r="U19"/>
  <c r="T19"/>
  <c r="D19" i="64"/>
  <c r="S19" i="14"/>
  <c r="R19"/>
  <c r="Q19"/>
  <c r="P19"/>
  <c r="O19"/>
  <c r="N19"/>
  <c r="M19"/>
  <c r="L19"/>
  <c r="K19"/>
  <c r="J19"/>
  <c r="H19"/>
  <c r="G19"/>
  <c r="F19"/>
  <c r="E19"/>
  <c r="D19"/>
  <c r="C19"/>
  <c r="W19"/>
  <c r="V18"/>
  <c r="U18"/>
  <c r="T18"/>
  <c r="D18" i="64"/>
  <c r="S18" i="14"/>
  <c r="R18"/>
  <c r="Q18"/>
  <c r="P18"/>
  <c r="O18"/>
  <c r="N18"/>
  <c r="M18"/>
  <c r="L18"/>
  <c r="K18"/>
  <c r="J18"/>
  <c r="H18"/>
  <c r="G18"/>
  <c r="F18"/>
  <c r="E18"/>
  <c r="D18"/>
  <c r="C18"/>
  <c r="W18"/>
  <c r="V17"/>
  <c r="U17"/>
  <c r="T17"/>
  <c r="D17" i="64"/>
  <c r="S17" i="14"/>
  <c r="R17"/>
  <c r="Q17"/>
  <c r="P17"/>
  <c r="O17"/>
  <c r="N17"/>
  <c r="M17"/>
  <c r="L17"/>
  <c r="K17"/>
  <c r="J17"/>
  <c r="H17"/>
  <c r="G17"/>
  <c r="F17"/>
  <c r="E17"/>
  <c r="D17"/>
  <c r="C17"/>
  <c r="V16"/>
  <c r="U16"/>
  <c r="T16"/>
  <c r="D16" i="64"/>
  <c r="S16" i="14"/>
  <c r="R16"/>
  <c r="Q16"/>
  <c r="P16"/>
  <c r="O16"/>
  <c r="N16"/>
  <c r="M16"/>
  <c r="L16"/>
  <c r="K16"/>
  <c r="J16"/>
  <c r="H16"/>
  <c r="G16"/>
  <c r="F16"/>
  <c r="E16"/>
  <c r="D16"/>
  <c r="C16"/>
  <c r="V15"/>
  <c r="U15"/>
  <c r="T15"/>
  <c r="D15" i="64"/>
  <c r="S15" i="14"/>
  <c r="R15"/>
  <c r="Q15"/>
  <c r="P15"/>
  <c r="O15"/>
  <c r="N15"/>
  <c r="M15"/>
  <c r="L15"/>
  <c r="K15"/>
  <c r="J15"/>
  <c r="H15"/>
  <c r="G15"/>
  <c r="F15"/>
  <c r="E15"/>
  <c r="D15"/>
  <c r="C15"/>
  <c r="V14"/>
  <c r="U14"/>
  <c r="T14"/>
  <c r="D14" i="64"/>
  <c r="S14" i="14"/>
  <c r="R14"/>
  <c r="Q14"/>
  <c r="P14"/>
  <c r="O14"/>
  <c r="N14"/>
  <c r="M14"/>
  <c r="L14"/>
  <c r="K14"/>
  <c r="J14"/>
  <c r="H14"/>
  <c r="G14"/>
  <c r="F14"/>
  <c r="E14"/>
  <c r="D14"/>
  <c r="C14"/>
  <c r="W14"/>
  <c r="C14" i="64"/>
  <c r="V13" i="14"/>
  <c r="U13"/>
  <c r="T13"/>
  <c r="D13" i="64"/>
  <c r="S13" i="14"/>
  <c r="R13"/>
  <c r="Q13"/>
  <c r="P13"/>
  <c r="O13"/>
  <c r="N13"/>
  <c r="M13"/>
  <c r="L13"/>
  <c r="K13"/>
  <c r="J13"/>
  <c r="H13"/>
  <c r="G13"/>
  <c r="F13"/>
  <c r="E13"/>
  <c r="D13"/>
  <c r="C13"/>
  <c r="V12"/>
  <c r="U12"/>
  <c r="T12"/>
  <c r="D12" i="64"/>
  <c r="S12" i="14"/>
  <c r="R12"/>
  <c r="Q12"/>
  <c r="P12"/>
  <c r="O12"/>
  <c r="N12"/>
  <c r="M12"/>
  <c r="L12"/>
  <c r="K12"/>
  <c r="J12"/>
  <c r="H12"/>
  <c r="G12"/>
  <c r="F12"/>
  <c r="E12"/>
  <c r="D12"/>
  <c r="C12"/>
  <c r="W12"/>
  <c r="V11"/>
  <c r="U11"/>
  <c r="T11"/>
  <c r="D11" i="64"/>
  <c r="S11" i="14"/>
  <c r="R11"/>
  <c r="Q11"/>
  <c r="P11"/>
  <c r="O11"/>
  <c r="N11"/>
  <c r="M11"/>
  <c r="L11"/>
  <c r="K11"/>
  <c r="J11"/>
  <c r="H11"/>
  <c r="G11"/>
  <c r="F11"/>
  <c r="E11"/>
  <c r="D11"/>
  <c r="C11"/>
  <c r="V10"/>
  <c r="U10"/>
  <c r="T10"/>
  <c r="D10" i="64"/>
  <c r="S10" i="14"/>
  <c r="R10"/>
  <c r="Q10"/>
  <c r="P10"/>
  <c r="O10"/>
  <c r="N10"/>
  <c r="M10"/>
  <c r="L10"/>
  <c r="K10"/>
  <c r="J10"/>
  <c r="H10"/>
  <c r="G10"/>
  <c r="F10"/>
  <c r="E10"/>
  <c r="D10"/>
  <c r="C10"/>
  <c r="V9"/>
  <c r="U9"/>
  <c r="T9"/>
  <c r="D9" i="64"/>
  <c r="S9" i="14"/>
  <c r="R9"/>
  <c r="Q9"/>
  <c r="P9"/>
  <c r="O9"/>
  <c r="N9"/>
  <c r="M9"/>
  <c r="L9"/>
  <c r="K9"/>
  <c r="J9"/>
  <c r="H9"/>
  <c r="G9"/>
  <c r="F9"/>
  <c r="E9"/>
  <c r="D9"/>
  <c r="C9"/>
  <c r="V8"/>
  <c r="U8"/>
  <c r="T8"/>
  <c r="D8" i="64"/>
  <c r="S8" i="14"/>
  <c r="R8"/>
  <c r="Q8"/>
  <c r="P8"/>
  <c r="O8"/>
  <c r="N8"/>
  <c r="M8"/>
  <c r="L8"/>
  <c r="K8"/>
  <c r="J8"/>
  <c r="H8"/>
  <c r="G8"/>
  <c r="F8"/>
  <c r="E8"/>
  <c r="D8"/>
  <c r="C8"/>
  <c r="W8"/>
  <c r="C8" i="64"/>
  <c r="V7" i="14"/>
  <c r="U7"/>
  <c r="T7"/>
  <c r="D7" i="64"/>
  <c r="S7" i="14"/>
  <c r="R7"/>
  <c r="Q7"/>
  <c r="Q50"/>
  <c r="P7"/>
  <c r="O7"/>
  <c r="N7"/>
  <c r="M7"/>
  <c r="L7"/>
  <c r="K7"/>
  <c r="J7"/>
  <c r="H7"/>
  <c r="G7"/>
  <c r="F7"/>
  <c r="E7"/>
  <c r="D7"/>
  <c r="C7"/>
  <c r="V6"/>
  <c r="U6"/>
  <c r="U50"/>
  <c r="T6"/>
  <c r="D6" i="64"/>
  <c r="S6" i="14"/>
  <c r="R6"/>
  <c r="R50"/>
  <c r="Q6"/>
  <c r="P6"/>
  <c r="O6"/>
  <c r="O50"/>
  <c r="N6"/>
  <c r="N50"/>
  <c r="M6"/>
  <c r="M50"/>
  <c r="L6"/>
  <c r="K6"/>
  <c r="J6"/>
  <c r="J50"/>
  <c r="H6"/>
  <c r="H50"/>
  <c r="G6"/>
  <c r="F6"/>
  <c r="F50"/>
  <c r="E6"/>
  <c r="E50"/>
  <c r="D6"/>
  <c r="C6"/>
  <c r="BA50"/>
  <c r="AZ50"/>
  <c r="AY50"/>
  <c r="AX50"/>
  <c r="AW50"/>
  <c r="AV50"/>
  <c r="AU50"/>
  <c r="AT50"/>
  <c r="AS50"/>
  <c r="AR50"/>
  <c r="AQ50"/>
  <c r="AP50"/>
  <c r="AO50"/>
  <c r="AM50"/>
  <c r="AL50"/>
  <c r="AK50"/>
  <c r="AJ50"/>
  <c r="AI50"/>
  <c r="AH50"/>
  <c r="BC49"/>
  <c r="BB49"/>
  <c r="BC48"/>
  <c r="BB48"/>
  <c r="BC47"/>
  <c r="BB47"/>
  <c r="BC46"/>
  <c r="BB46"/>
  <c r="BC45"/>
  <c r="BB45"/>
  <c r="BC44"/>
  <c r="BB44"/>
  <c r="BC43"/>
  <c r="BB43"/>
  <c r="BC42"/>
  <c r="BB42"/>
  <c r="BC41"/>
  <c r="BB41"/>
  <c r="BC40"/>
  <c r="BB40"/>
  <c r="BC39"/>
  <c r="BB39"/>
  <c r="BC38"/>
  <c r="BB38"/>
  <c r="BC37"/>
  <c r="BB37"/>
  <c r="BC36"/>
  <c r="BB36"/>
  <c r="BC35"/>
  <c r="BB35"/>
  <c r="BC34"/>
  <c r="BB34"/>
  <c r="BC33"/>
  <c r="BB33"/>
  <c r="BC32"/>
  <c r="BB32"/>
  <c r="BC31"/>
  <c r="BB31"/>
  <c r="BC30"/>
  <c r="BB30"/>
  <c r="BC29"/>
  <c r="BB29"/>
  <c r="BC28"/>
  <c r="BB28"/>
  <c r="BC27"/>
  <c r="BB27"/>
  <c r="BC26"/>
  <c r="BB26"/>
  <c r="BC25"/>
  <c r="BB25"/>
  <c r="BC24"/>
  <c r="BB24"/>
  <c r="BC23"/>
  <c r="BB23"/>
  <c r="BC22"/>
  <c r="BB22"/>
  <c r="BC21"/>
  <c r="BB21"/>
  <c r="BC20"/>
  <c r="BB20"/>
  <c r="BC19"/>
  <c r="BB19"/>
  <c r="BC18"/>
  <c r="BB18"/>
  <c r="BC17"/>
  <c r="BB17"/>
  <c r="BC16"/>
  <c r="BB16"/>
  <c r="BC15"/>
  <c r="BB15"/>
  <c r="BC14"/>
  <c r="BB14"/>
  <c r="BC13"/>
  <c r="BB13"/>
  <c r="BC12"/>
  <c r="BB12"/>
  <c r="BC11"/>
  <c r="BB11"/>
  <c r="BC10"/>
  <c r="BB10"/>
  <c r="BC9"/>
  <c r="BB9"/>
  <c r="BC8"/>
  <c r="BB8"/>
  <c r="BC7"/>
  <c r="BB7"/>
  <c r="BC6"/>
  <c r="BB6"/>
  <c r="I49" i="15"/>
  <c r="H49"/>
  <c r="G49"/>
  <c r="E49"/>
  <c r="D49"/>
  <c r="I48"/>
  <c r="H48"/>
  <c r="G48"/>
  <c r="E48"/>
  <c r="D48"/>
  <c r="I47"/>
  <c r="H47"/>
  <c r="G47"/>
  <c r="E47"/>
  <c r="D47"/>
  <c r="I46"/>
  <c r="H46"/>
  <c r="G46"/>
  <c r="E46"/>
  <c r="J46"/>
  <c r="D46"/>
  <c r="I45"/>
  <c r="H45"/>
  <c r="G45"/>
  <c r="E45"/>
  <c r="D45"/>
  <c r="I44"/>
  <c r="H44"/>
  <c r="G44"/>
  <c r="E44"/>
  <c r="D44"/>
  <c r="I43"/>
  <c r="H43"/>
  <c r="G43"/>
  <c r="E43"/>
  <c r="D43"/>
  <c r="I42"/>
  <c r="H42"/>
  <c r="G42"/>
  <c r="E42"/>
  <c r="D42"/>
  <c r="I41"/>
  <c r="H41"/>
  <c r="G41"/>
  <c r="E41"/>
  <c r="D41"/>
  <c r="I40"/>
  <c r="H40"/>
  <c r="G40"/>
  <c r="E40"/>
  <c r="D40"/>
  <c r="I39"/>
  <c r="H39"/>
  <c r="G39"/>
  <c r="E39"/>
  <c r="D39"/>
  <c r="I38"/>
  <c r="H38"/>
  <c r="G38"/>
  <c r="E38"/>
  <c r="D38"/>
  <c r="I37"/>
  <c r="H37"/>
  <c r="G37"/>
  <c r="E37"/>
  <c r="D37"/>
  <c r="I36"/>
  <c r="H36"/>
  <c r="G36"/>
  <c r="E36"/>
  <c r="D36"/>
  <c r="I35"/>
  <c r="H35"/>
  <c r="G35"/>
  <c r="E35"/>
  <c r="D35"/>
  <c r="I34"/>
  <c r="H34"/>
  <c r="G34"/>
  <c r="E34"/>
  <c r="D34"/>
  <c r="I33"/>
  <c r="H33"/>
  <c r="G33"/>
  <c r="E33"/>
  <c r="D33"/>
  <c r="I32"/>
  <c r="H32"/>
  <c r="G32"/>
  <c r="E32"/>
  <c r="D32"/>
  <c r="I31"/>
  <c r="H31"/>
  <c r="G31"/>
  <c r="E31"/>
  <c r="D31"/>
  <c r="I30"/>
  <c r="H30"/>
  <c r="G30"/>
  <c r="E30"/>
  <c r="D30"/>
  <c r="I29"/>
  <c r="H29"/>
  <c r="G29"/>
  <c r="E29"/>
  <c r="D29"/>
  <c r="I28"/>
  <c r="H28"/>
  <c r="G28"/>
  <c r="E28"/>
  <c r="D28"/>
  <c r="I27"/>
  <c r="H27"/>
  <c r="G27"/>
  <c r="E27"/>
  <c r="D27"/>
  <c r="I26"/>
  <c r="H26"/>
  <c r="G26"/>
  <c r="E26"/>
  <c r="D26"/>
  <c r="I25"/>
  <c r="H25"/>
  <c r="G25"/>
  <c r="E25"/>
  <c r="D25"/>
  <c r="I24"/>
  <c r="H24"/>
  <c r="G24"/>
  <c r="E24"/>
  <c r="D24"/>
  <c r="I23"/>
  <c r="H23"/>
  <c r="G23"/>
  <c r="E23"/>
  <c r="D23"/>
  <c r="I22"/>
  <c r="H22"/>
  <c r="G22"/>
  <c r="E22"/>
  <c r="D22"/>
  <c r="I21"/>
  <c r="H21"/>
  <c r="G21"/>
  <c r="E21"/>
  <c r="D21"/>
  <c r="I20"/>
  <c r="H20"/>
  <c r="G20"/>
  <c r="E20"/>
  <c r="D20"/>
  <c r="I19"/>
  <c r="H19"/>
  <c r="G19"/>
  <c r="E19"/>
  <c r="D19"/>
  <c r="I18"/>
  <c r="H18"/>
  <c r="G18"/>
  <c r="E18"/>
  <c r="D18"/>
  <c r="I17"/>
  <c r="H17"/>
  <c r="G17"/>
  <c r="E17"/>
  <c r="D17"/>
  <c r="I16"/>
  <c r="H16"/>
  <c r="G16"/>
  <c r="E16"/>
  <c r="D16"/>
  <c r="I15"/>
  <c r="H15"/>
  <c r="G15"/>
  <c r="E15"/>
  <c r="D15"/>
  <c r="I14"/>
  <c r="H14"/>
  <c r="G14"/>
  <c r="E14"/>
  <c r="D14"/>
  <c r="I13"/>
  <c r="H13"/>
  <c r="G13"/>
  <c r="E13"/>
  <c r="D13"/>
  <c r="I12"/>
  <c r="H12"/>
  <c r="G12"/>
  <c r="E12"/>
  <c r="D12"/>
  <c r="I11"/>
  <c r="H11"/>
  <c r="G11"/>
  <c r="E11"/>
  <c r="D11"/>
  <c r="I10"/>
  <c r="H10"/>
  <c r="G10"/>
  <c r="E10"/>
  <c r="D10"/>
  <c r="I9"/>
  <c r="H9"/>
  <c r="G9"/>
  <c r="E9"/>
  <c r="D9"/>
  <c r="I8"/>
  <c r="H8"/>
  <c r="G8"/>
  <c r="E8"/>
  <c r="I7"/>
  <c r="H7"/>
  <c r="G7"/>
  <c r="E7"/>
  <c r="D7"/>
  <c r="I6"/>
  <c r="I50"/>
  <c r="H6"/>
  <c r="G6"/>
  <c r="E6"/>
  <c r="E47" i="58"/>
  <c r="C43" i="29"/>
  <c r="C39"/>
  <c r="E39"/>
  <c r="E37" i="58"/>
  <c r="I37" s="1"/>
  <c r="C31" i="29"/>
  <c r="E31"/>
  <c r="D29" i="45"/>
  <c r="D25"/>
  <c r="D21"/>
  <c r="D17"/>
  <c r="D15"/>
  <c r="E11" i="58"/>
  <c r="I11" s="1"/>
  <c r="AG50" i="15"/>
  <c r="AF50"/>
  <c r="AC50"/>
  <c r="AB50"/>
  <c r="AH50"/>
  <c r="AA50"/>
  <c r="T51" i="43"/>
  <c r="S51"/>
  <c r="R51"/>
  <c r="Q51"/>
  <c r="P51"/>
  <c r="O51"/>
  <c r="N51"/>
  <c r="M51"/>
  <c r="L51"/>
  <c r="K51"/>
  <c r="J51"/>
  <c r="I51"/>
  <c r="H51"/>
  <c r="G51"/>
  <c r="F51"/>
  <c r="E51"/>
  <c r="D51"/>
  <c r="C51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T48"/>
  <c r="S48"/>
  <c r="R48"/>
  <c r="Q48"/>
  <c r="P48"/>
  <c r="O48"/>
  <c r="N48"/>
  <c r="M48"/>
  <c r="L48"/>
  <c r="K48"/>
  <c r="J48"/>
  <c r="I48"/>
  <c r="H48"/>
  <c r="G48"/>
  <c r="F48"/>
  <c r="E48"/>
  <c r="D48"/>
  <c r="V48"/>
  <c r="C48"/>
  <c r="T47"/>
  <c r="S47"/>
  <c r="R47"/>
  <c r="Q47"/>
  <c r="P47"/>
  <c r="O47"/>
  <c r="N47"/>
  <c r="M47"/>
  <c r="L47"/>
  <c r="K47"/>
  <c r="J47"/>
  <c r="I47"/>
  <c r="H47"/>
  <c r="G47"/>
  <c r="F47"/>
  <c r="E47"/>
  <c r="D47"/>
  <c r="V47"/>
  <c r="C47"/>
  <c r="U47"/>
  <c r="T46"/>
  <c r="S46"/>
  <c r="R46"/>
  <c r="Q46"/>
  <c r="P46"/>
  <c r="O46"/>
  <c r="N46"/>
  <c r="M46"/>
  <c r="L46"/>
  <c r="K46"/>
  <c r="J46"/>
  <c r="I46"/>
  <c r="H46"/>
  <c r="G46"/>
  <c r="F46"/>
  <c r="E46"/>
  <c r="D46"/>
  <c r="V46"/>
  <c r="C46"/>
  <c r="U46"/>
  <c r="T45"/>
  <c r="S45"/>
  <c r="R45"/>
  <c r="Q45"/>
  <c r="P45"/>
  <c r="O45"/>
  <c r="N45"/>
  <c r="M45"/>
  <c r="L45"/>
  <c r="K45"/>
  <c r="J45"/>
  <c r="I45"/>
  <c r="H45"/>
  <c r="G45"/>
  <c r="F45"/>
  <c r="E45"/>
  <c r="D45"/>
  <c r="V45"/>
  <c r="C45"/>
  <c r="T44"/>
  <c r="S44"/>
  <c r="R44"/>
  <c r="Q44"/>
  <c r="P44"/>
  <c r="O44"/>
  <c r="N44"/>
  <c r="M44"/>
  <c r="L44"/>
  <c r="K44"/>
  <c r="J44"/>
  <c r="I44"/>
  <c r="H44"/>
  <c r="G44"/>
  <c r="F44"/>
  <c r="E44"/>
  <c r="D44"/>
  <c r="V44"/>
  <c r="C44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T40"/>
  <c r="S40"/>
  <c r="R40"/>
  <c r="Q40"/>
  <c r="P40"/>
  <c r="O40"/>
  <c r="N40"/>
  <c r="M40"/>
  <c r="L40"/>
  <c r="K40"/>
  <c r="J40"/>
  <c r="I40"/>
  <c r="H40"/>
  <c r="G40"/>
  <c r="F40"/>
  <c r="E40"/>
  <c r="D40"/>
  <c r="V40"/>
  <c r="C40"/>
  <c r="U40"/>
  <c r="C38" i="85"/>
  <c r="D38"/>
  <c r="T39" i="43"/>
  <c r="S39"/>
  <c r="R39"/>
  <c r="Q39"/>
  <c r="P39"/>
  <c r="O39"/>
  <c r="N39"/>
  <c r="M39"/>
  <c r="L39"/>
  <c r="K39"/>
  <c r="J39"/>
  <c r="I39"/>
  <c r="H39"/>
  <c r="G39"/>
  <c r="F39"/>
  <c r="E39"/>
  <c r="D39"/>
  <c r="V39"/>
  <c r="C39"/>
  <c r="T38"/>
  <c r="S38"/>
  <c r="R38"/>
  <c r="Q38"/>
  <c r="P38"/>
  <c r="O38"/>
  <c r="N38"/>
  <c r="M38"/>
  <c r="L38"/>
  <c r="K38"/>
  <c r="J38"/>
  <c r="I38"/>
  <c r="H38"/>
  <c r="G38"/>
  <c r="F38"/>
  <c r="E38"/>
  <c r="D38"/>
  <c r="V38"/>
  <c r="C38"/>
  <c r="T37"/>
  <c r="S37"/>
  <c r="R37"/>
  <c r="Q37"/>
  <c r="P37"/>
  <c r="O37"/>
  <c r="N37"/>
  <c r="M37"/>
  <c r="L37"/>
  <c r="K37"/>
  <c r="J37"/>
  <c r="I37"/>
  <c r="H37"/>
  <c r="G37"/>
  <c r="F37"/>
  <c r="E37"/>
  <c r="D37"/>
  <c r="V37"/>
  <c r="C37"/>
  <c r="T36"/>
  <c r="S36"/>
  <c r="R36"/>
  <c r="Q36"/>
  <c r="P36"/>
  <c r="O36"/>
  <c r="N36"/>
  <c r="M36"/>
  <c r="L36"/>
  <c r="K36"/>
  <c r="J36"/>
  <c r="I36"/>
  <c r="H36"/>
  <c r="G36"/>
  <c r="F36"/>
  <c r="E36"/>
  <c r="D36"/>
  <c r="V36"/>
  <c r="C36"/>
  <c r="T35"/>
  <c r="S35"/>
  <c r="R35"/>
  <c r="Q35"/>
  <c r="P35"/>
  <c r="O35"/>
  <c r="N35"/>
  <c r="M35"/>
  <c r="L35"/>
  <c r="K35"/>
  <c r="J35"/>
  <c r="I35"/>
  <c r="H35"/>
  <c r="G35"/>
  <c r="F35"/>
  <c r="E35"/>
  <c r="D35"/>
  <c r="V35"/>
  <c r="C35"/>
  <c r="T34"/>
  <c r="S34"/>
  <c r="R34"/>
  <c r="Q34"/>
  <c r="P34"/>
  <c r="O34"/>
  <c r="N34"/>
  <c r="M34"/>
  <c r="L34"/>
  <c r="K34"/>
  <c r="J34"/>
  <c r="I34"/>
  <c r="H34"/>
  <c r="G34"/>
  <c r="F34"/>
  <c r="E34"/>
  <c r="D34"/>
  <c r="V34"/>
  <c r="C34"/>
  <c r="U34"/>
  <c r="C32" i="85"/>
  <c r="D32"/>
  <c r="T33" i="43"/>
  <c r="S33"/>
  <c r="R33"/>
  <c r="Q33"/>
  <c r="P33"/>
  <c r="O33"/>
  <c r="N33"/>
  <c r="M33"/>
  <c r="L33"/>
  <c r="K33"/>
  <c r="J33"/>
  <c r="I33"/>
  <c r="H33"/>
  <c r="G33"/>
  <c r="F33"/>
  <c r="E33"/>
  <c r="D33"/>
  <c r="V33"/>
  <c r="C33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T30"/>
  <c r="S30"/>
  <c r="R30"/>
  <c r="Q30"/>
  <c r="P30"/>
  <c r="O30"/>
  <c r="N30"/>
  <c r="M30"/>
  <c r="L30"/>
  <c r="K30"/>
  <c r="J30"/>
  <c r="I30"/>
  <c r="H30"/>
  <c r="G30"/>
  <c r="F30"/>
  <c r="E30"/>
  <c r="D30"/>
  <c r="V30"/>
  <c r="C30"/>
  <c r="U30"/>
  <c r="C28" i="85"/>
  <c r="D28" s="1"/>
  <c r="T29" i="43"/>
  <c r="S29"/>
  <c r="R29"/>
  <c r="Q29"/>
  <c r="P29"/>
  <c r="O29"/>
  <c r="N29"/>
  <c r="M29"/>
  <c r="L29"/>
  <c r="K29"/>
  <c r="J29"/>
  <c r="I29"/>
  <c r="H29"/>
  <c r="G29"/>
  <c r="F29"/>
  <c r="E29"/>
  <c r="D29"/>
  <c r="V29"/>
  <c r="C29"/>
  <c r="T28"/>
  <c r="S28"/>
  <c r="R28"/>
  <c r="Q28"/>
  <c r="P28"/>
  <c r="O28"/>
  <c r="N28"/>
  <c r="M28"/>
  <c r="L28"/>
  <c r="K28"/>
  <c r="J28"/>
  <c r="I28"/>
  <c r="H28"/>
  <c r="G28"/>
  <c r="F28"/>
  <c r="E28"/>
  <c r="D28"/>
  <c r="V28"/>
  <c r="C28"/>
  <c r="U28"/>
  <c r="T27"/>
  <c r="S27"/>
  <c r="R27"/>
  <c r="Q27"/>
  <c r="P27"/>
  <c r="O27"/>
  <c r="N27"/>
  <c r="M27"/>
  <c r="L27"/>
  <c r="K27"/>
  <c r="J27"/>
  <c r="I27"/>
  <c r="H27"/>
  <c r="G27"/>
  <c r="F27"/>
  <c r="E27"/>
  <c r="D27"/>
  <c r="V27"/>
  <c r="C27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T22"/>
  <c r="S22"/>
  <c r="R22"/>
  <c r="Q22"/>
  <c r="P22"/>
  <c r="O22"/>
  <c r="N22"/>
  <c r="M22"/>
  <c r="L22"/>
  <c r="K22"/>
  <c r="J22"/>
  <c r="I22"/>
  <c r="H22"/>
  <c r="G22"/>
  <c r="F22"/>
  <c r="E22"/>
  <c r="D22"/>
  <c r="V22"/>
  <c r="C22"/>
  <c r="T21"/>
  <c r="S21"/>
  <c r="R21"/>
  <c r="Q21"/>
  <c r="P21"/>
  <c r="O21"/>
  <c r="N21"/>
  <c r="M21"/>
  <c r="L21"/>
  <c r="K21"/>
  <c r="J21"/>
  <c r="I21"/>
  <c r="H21"/>
  <c r="G21"/>
  <c r="F21"/>
  <c r="E21"/>
  <c r="D21"/>
  <c r="V21"/>
  <c r="C21"/>
  <c r="T20"/>
  <c r="S20"/>
  <c r="R20"/>
  <c r="Q20"/>
  <c r="P20"/>
  <c r="O20"/>
  <c r="N20"/>
  <c r="M20"/>
  <c r="L20"/>
  <c r="K20"/>
  <c r="J20"/>
  <c r="I20"/>
  <c r="H20"/>
  <c r="G20"/>
  <c r="F20"/>
  <c r="E20"/>
  <c r="D20"/>
  <c r="V20"/>
  <c r="C20"/>
  <c r="T19"/>
  <c r="S19"/>
  <c r="R19"/>
  <c r="Q19"/>
  <c r="P19"/>
  <c r="O19"/>
  <c r="N19"/>
  <c r="M19"/>
  <c r="L19"/>
  <c r="K19"/>
  <c r="J19"/>
  <c r="I19"/>
  <c r="H19"/>
  <c r="G19"/>
  <c r="F19"/>
  <c r="E19"/>
  <c r="D19"/>
  <c r="V19"/>
  <c r="C19"/>
  <c r="T18"/>
  <c r="S18"/>
  <c r="R18"/>
  <c r="Q18"/>
  <c r="P18"/>
  <c r="O18"/>
  <c r="N18"/>
  <c r="M18"/>
  <c r="L18"/>
  <c r="K18"/>
  <c r="J18"/>
  <c r="I18"/>
  <c r="H18"/>
  <c r="G18"/>
  <c r="F18"/>
  <c r="E18"/>
  <c r="D18"/>
  <c r="V18"/>
  <c r="C18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T16"/>
  <c r="S16"/>
  <c r="R16"/>
  <c r="Q16"/>
  <c r="P16"/>
  <c r="O16"/>
  <c r="N16"/>
  <c r="M16"/>
  <c r="L16"/>
  <c r="K16"/>
  <c r="J16"/>
  <c r="I16"/>
  <c r="H16"/>
  <c r="G16"/>
  <c r="F16"/>
  <c r="E16"/>
  <c r="D16"/>
  <c r="V16"/>
  <c r="C16"/>
  <c r="T15"/>
  <c r="S15"/>
  <c r="R15"/>
  <c r="Q15"/>
  <c r="P15"/>
  <c r="O15"/>
  <c r="N15"/>
  <c r="M15"/>
  <c r="L15"/>
  <c r="K15"/>
  <c r="J15"/>
  <c r="I15"/>
  <c r="H15"/>
  <c r="G15"/>
  <c r="F15"/>
  <c r="E15"/>
  <c r="D15"/>
  <c r="V15"/>
  <c r="C15"/>
  <c r="T14"/>
  <c r="S14"/>
  <c r="R14"/>
  <c r="Q14"/>
  <c r="P14"/>
  <c r="O14"/>
  <c r="N14"/>
  <c r="M14"/>
  <c r="L14"/>
  <c r="K14"/>
  <c r="J14"/>
  <c r="I14"/>
  <c r="H14"/>
  <c r="G14"/>
  <c r="F14"/>
  <c r="E14"/>
  <c r="D14"/>
  <c r="V14"/>
  <c r="C14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T10"/>
  <c r="S10"/>
  <c r="R10"/>
  <c r="Q10"/>
  <c r="P10"/>
  <c r="O10"/>
  <c r="N10"/>
  <c r="M10"/>
  <c r="L10"/>
  <c r="K10"/>
  <c r="J10"/>
  <c r="I10"/>
  <c r="H10"/>
  <c r="G10"/>
  <c r="F10"/>
  <c r="E10"/>
  <c r="U10"/>
  <c r="D10"/>
  <c r="V10"/>
  <c r="C10"/>
  <c r="T9"/>
  <c r="S9"/>
  <c r="R9"/>
  <c r="Q9"/>
  <c r="P9"/>
  <c r="O9"/>
  <c r="N9"/>
  <c r="M9"/>
  <c r="L9"/>
  <c r="K9"/>
  <c r="J9"/>
  <c r="I9"/>
  <c r="H9"/>
  <c r="G9"/>
  <c r="F9"/>
  <c r="E9"/>
  <c r="D9"/>
  <c r="V9"/>
  <c r="C9"/>
  <c r="T8"/>
  <c r="T52"/>
  <c r="S8"/>
  <c r="R8"/>
  <c r="Q8"/>
  <c r="P8"/>
  <c r="P52"/>
  <c r="O8"/>
  <c r="N8"/>
  <c r="N52"/>
  <c r="M8"/>
  <c r="L8"/>
  <c r="L52"/>
  <c r="K8"/>
  <c r="J8"/>
  <c r="I8"/>
  <c r="H8"/>
  <c r="H52"/>
  <c r="G8"/>
  <c r="F8"/>
  <c r="F52"/>
  <c r="E8"/>
  <c r="D8"/>
  <c r="C8"/>
  <c r="U8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BB51"/>
  <c r="BA51"/>
  <c r="AZ51"/>
  <c r="BB50"/>
  <c r="BA50"/>
  <c r="AZ50"/>
  <c r="BB49"/>
  <c r="BA49"/>
  <c r="AZ49"/>
  <c r="BB48"/>
  <c r="BA48"/>
  <c r="AZ48"/>
  <c r="BB47"/>
  <c r="BA47"/>
  <c r="AZ47"/>
  <c r="BB46"/>
  <c r="BA46"/>
  <c r="AZ46"/>
  <c r="BB45"/>
  <c r="BA45"/>
  <c r="AZ45"/>
  <c r="BB44"/>
  <c r="BA44"/>
  <c r="AZ44"/>
  <c r="BB43"/>
  <c r="BA43"/>
  <c r="AZ43"/>
  <c r="BB42"/>
  <c r="BA42"/>
  <c r="AZ42"/>
  <c r="BB41"/>
  <c r="BA41"/>
  <c r="AZ41"/>
  <c r="BB40"/>
  <c r="BA40"/>
  <c r="AZ40"/>
  <c r="BB39"/>
  <c r="BA39"/>
  <c r="AZ39"/>
  <c r="BB38"/>
  <c r="BA38"/>
  <c r="AZ38"/>
  <c r="BB37"/>
  <c r="BA37"/>
  <c r="AZ37"/>
  <c r="BB36"/>
  <c r="BA36"/>
  <c r="AZ36"/>
  <c r="BB35"/>
  <c r="BA35"/>
  <c r="AZ35"/>
  <c r="BB34"/>
  <c r="BA34"/>
  <c r="AZ34"/>
  <c r="BB33"/>
  <c r="BA33"/>
  <c r="AZ33"/>
  <c r="BB32"/>
  <c r="BA32"/>
  <c r="AZ32"/>
  <c r="BB31"/>
  <c r="BA31"/>
  <c r="AZ31"/>
  <c r="BB30"/>
  <c r="BA30"/>
  <c r="AZ30"/>
  <c r="BB29"/>
  <c r="BA29"/>
  <c r="AZ29"/>
  <c r="BB28"/>
  <c r="BA28"/>
  <c r="AZ28"/>
  <c r="BB27"/>
  <c r="BA27"/>
  <c r="AZ27"/>
  <c r="BB26"/>
  <c r="BA26"/>
  <c r="AZ26"/>
  <c r="BB25"/>
  <c r="BA25"/>
  <c r="AZ25"/>
  <c r="BB24"/>
  <c r="BA24"/>
  <c r="AZ24"/>
  <c r="BB23"/>
  <c r="BA23"/>
  <c r="AZ23"/>
  <c r="BB22"/>
  <c r="BA22"/>
  <c r="AZ22"/>
  <c r="BB21"/>
  <c r="BA21"/>
  <c r="AZ21"/>
  <c r="BB20"/>
  <c r="BA20"/>
  <c r="AZ20"/>
  <c r="BB19"/>
  <c r="BA19"/>
  <c r="AZ19"/>
  <c r="BB18"/>
  <c r="BA18"/>
  <c r="AZ18"/>
  <c r="BB17"/>
  <c r="BA17"/>
  <c r="AZ17"/>
  <c r="BB16"/>
  <c r="BA16"/>
  <c r="AZ16"/>
  <c r="BB15"/>
  <c r="BA15"/>
  <c r="AZ15"/>
  <c r="BB14"/>
  <c r="BA14"/>
  <c r="AZ14"/>
  <c r="BB13"/>
  <c r="BA13"/>
  <c r="AZ13"/>
  <c r="BB12"/>
  <c r="BA12"/>
  <c r="AZ12"/>
  <c r="BB11"/>
  <c r="BA11"/>
  <c r="AZ11"/>
  <c r="BB10"/>
  <c r="BA10"/>
  <c r="AZ10"/>
  <c r="BB9"/>
  <c r="BA9"/>
  <c r="AZ9"/>
  <c r="BB8"/>
  <c r="BA8"/>
  <c r="AZ8"/>
  <c r="AZ52"/>
  <c r="K49" i="2"/>
  <c r="J49"/>
  <c r="I49"/>
  <c r="H49"/>
  <c r="G49"/>
  <c r="F49"/>
  <c r="E49"/>
  <c r="D49"/>
  <c r="C49"/>
  <c r="C49" i="33"/>
  <c r="K48" i="2"/>
  <c r="J48"/>
  <c r="I48"/>
  <c r="H48"/>
  <c r="G48"/>
  <c r="F48"/>
  <c r="E48"/>
  <c r="D48"/>
  <c r="C48"/>
  <c r="C48" i="31"/>
  <c r="K47" i="2"/>
  <c r="J47"/>
  <c r="I47"/>
  <c r="H47"/>
  <c r="G47"/>
  <c r="F47"/>
  <c r="E47"/>
  <c r="D47"/>
  <c r="C47"/>
  <c r="C47" i="31"/>
  <c r="K46" i="2"/>
  <c r="J46"/>
  <c r="I46"/>
  <c r="H46"/>
  <c r="G46"/>
  <c r="F46"/>
  <c r="E46"/>
  <c r="D46"/>
  <c r="C46" i="33"/>
  <c r="C46" i="2"/>
  <c r="K45"/>
  <c r="J45"/>
  <c r="I45"/>
  <c r="H45"/>
  <c r="G45"/>
  <c r="F45"/>
  <c r="E45"/>
  <c r="D45"/>
  <c r="C45"/>
  <c r="C45" i="31"/>
  <c r="K44" i="2"/>
  <c r="J44"/>
  <c r="I44"/>
  <c r="H44"/>
  <c r="G44"/>
  <c r="F44"/>
  <c r="E44"/>
  <c r="D44"/>
  <c r="C44"/>
  <c r="C44" i="33"/>
  <c r="K43" i="2"/>
  <c r="J43"/>
  <c r="I43"/>
  <c r="H43"/>
  <c r="G43"/>
  <c r="F43"/>
  <c r="E43"/>
  <c r="D43"/>
  <c r="C43"/>
  <c r="C43" i="31"/>
  <c r="K42" i="2"/>
  <c r="J42"/>
  <c r="I42"/>
  <c r="H42"/>
  <c r="G42"/>
  <c r="F42"/>
  <c r="L42"/>
  <c r="E42"/>
  <c r="D42"/>
  <c r="C42"/>
  <c r="C42" i="33"/>
  <c r="K41" i="2"/>
  <c r="J41"/>
  <c r="I41"/>
  <c r="H41"/>
  <c r="G41"/>
  <c r="F41"/>
  <c r="E41"/>
  <c r="D41"/>
  <c r="C41"/>
  <c r="C41" i="31"/>
  <c r="K40" i="2"/>
  <c r="J40"/>
  <c r="I40"/>
  <c r="H40"/>
  <c r="G40"/>
  <c r="F40"/>
  <c r="L40"/>
  <c r="E40"/>
  <c r="D40"/>
  <c r="C40"/>
  <c r="K39"/>
  <c r="J39"/>
  <c r="I39"/>
  <c r="H39"/>
  <c r="G39"/>
  <c r="F39"/>
  <c r="E39"/>
  <c r="D39"/>
  <c r="C39"/>
  <c r="C39" i="31"/>
  <c r="K38" i="2"/>
  <c r="J38"/>
  <c r="I38"/>
  <c r="H38"/>
  <c r="G38"/>
  <c r="F38"/>
  <c r="L38"/>
  <c r="E38"/>
  <c r="D38"/>
  <c r="C38"/>
  <c r="C38" i="33"/>
  <c r="K37" i="2"/>
  <c r="J37"/>
  <c r="I37"/>
  <c r="H37"/>
  <c r="G37"/>
  <c r="F37"/>
  <c r="E37"/>
  <c r="D37"/>
  <c r="C37"/>
  <c r="C37" i="31"/>
  <c r="K36" i="2"/>
  <c r="J36"/>
  <c r="I36"/>
  <c r="H36"/>
  <c r="G36"/>
  <c r="F36"/>
  <c r="L36"/>
  <c r="E36"/>
  <c r="D36"/>
  <c r="C36" i="33"/>
  <c r="C36" i="2"/>
  <c r="K35"/>
  <c r="J35"/>
  <c r="I35"/>
  <c r="H35"/>
  <c r="G35"/>
  <c r="F35"/>
  <c r="E35"/>
  <c r="D35"/>
  <c r="C35"/>
  <c r="C35" i="31"/>
  <c r="K34" i="2"/>
  <c r="J34"/>
  <c r="I34"/>
  <c r="H34"/>
  <c r="G34"/>
  <c r="F34"/>
  <c r="E34"/>
  <c r="D34"/>
  <c r="C34"/>
  <c r="C34" i="33"/>
  <c r="K33" i="2"/>
  <c r="J33"/>
  <c r="I33"/>
  <c r="H33"/>
  <c r="G33"/>
  <c r="M33"/>
  <c r="F33"/>
  <c r="E33"/>
  <c r="D33"/>
  <c r="C33"/>
  <c r="C33" i="31"/>
  <c r="K32" i="2"/>
  <c r="J32"/>
  <c r="I32"/>
  <c r="H32"/>
  <c r="G32"/>
  <c r="F32"/>
  <c r="E32"/>
  <c r="D32"/>
  <c r="C32"/>
  <c r="K31"/>
  <c r="J31"/>
  <c r="I31"/>
  <c r="H31"/>
  <c r="G31"/>
  <c r="M31"/>
  <c r="F31"/>
  <c r="E31"/>
  <c r="D31"/>
  <c r="C31"/>
  <c r="C31" i="31"/>
  <c r="K30" i="2"/>
  <c r="K50"/>
  <c r="J30"/>
  <c r="I30"/>
  <c r="H30"/>
  <c r="G30"/>
  <c r="F30"/>
  <c r="L30"/>
  <c r="E30"/>
  <c r="D30"/>
  <c r="C30" i="33"/>
  <c r="C30" i="2"/>
  <c r="K29"/>
  <c r="J29"/>
  <c r="I29"/>
  <c r="H29"/>
  <c r="G29"/>
  <c r="M29"/>
  <c r="F29"/>
  <c r="E29"/>
  <c r="D29"/>
  <c r="C29"/>
  <c r="C29" i="31"/>
  <c r="K28" i="2"/>
  <c r="J28"/>
  <c r="I28"/>
  <c r="H28"/>
  <c r="G28"/>
  <c r="F28"/>
  <c r="L28"/>
  <c r="E28"/>
  <c r="D28"/>
  <c r="C28"/>
  <c r="C28" i="33"/>
  <c r="K27" i="2"/>
  <c r="J27"/>
  <c r="I27"/>
  <c r="H27"/>
  <c r="G27"/>
  <c r="F27"/>
  <c r="E27"/>
  <c r="D27"/>
  <c r="C27"/>
  <c r="K26"/>
  <c r="J26"/>
  <c r="I26"/>
  <c r="H26"/>
  <c r="G26"/>
  <c r="F26"/>
  <c r="L26"/>
  <c r="E26"/>
  <c r="D26"/>
  <c r="C26" i="33"/>
  <c r="C26" i="2"/>
  <c r="K25"/>
  <c r="J25"/>
  <c r="I25"/>
  <c r="H25"/>
  <c r="G25"/>
  <c r="M25"/>
  <c r="AY25" i="18"/>
  <c r="E25" i="2"/>
  <c r="D25"/>
  <c r="C25"/>
  <c r="C25" i="31"/>
  <c r="K24" i="2"/>
  <c r="J24"/>
  <c r="I24"/>
  <c r="H24"/>
  <c r="G24"/>
  <c r="E24"/>
  <c r="D24"/>
  <c r="C24" i="33"/>
  <c r="C24" i="2"/>
  <c r="K23"/>
  <c r="J23"/>
  <c r="I23"/>
  <c r="H23"/>
  <c r="G23"/>
  <c r="M23"/>
  <c r="AY23" i="18"/>
  <c r="E23" i="2"/>
  <c r="D23"/>
  <c r="C23" i="31"/>
  <c r="C23" i="2"/>
  <c r="K22"/>
  <c r="J22"/>
  <c r="I22"/>
  <c r="H22"/>
  <c r="G22"/>
  <c r="F22"/>
  <c r="E22"/>
  <c r="D22"/>
  <c r="C22"/>
  <c r="C22" i="33"/>
  <c r="K21" i="2"/>
  <c r="J21"/>
  <c r="I21"/>
  <c r="H21"/>
  <c r="G21"/>
  <c r="F21"/>
  <c r="E21"/>
  <c r="D21"/>
  <c r="C21" i="31"/>
  <c r="C21" i="2"/>
  <c r="K20"/>
  <c r="J20"/>
  <c r="I20"/>
  <c r="H20"/>
  <c r="G20"/>
  <c r="F20"/>
  <c r="E20"/>
  <c r="D20"/>
  <c r="C20"/>
  <c r="C20" i="33"/>
  <c r="K19" i="2"/>
  <c r="J19"/>
  <c r="I19"/>
  <c r="H19"/>
  <c r="G19"/>
  <c r="F19"/>
  <c r="E19"/>
  <c r="D19"/>
  <c r="C19" i="31"/>
  <c r="C19" i="2"/>
  <c r="K18"/>
  <c r="J18"/>
  <c r="I18"/>
  <c r="H18"/>
  <c r="G18"/>
  <c r="F18"/>
  <c r="E18"/>
  <c r="D18"/>
  <c r="C18"/>
  <c r="C18" i="33"/>
  <c r="K17" i="2"/>
  <c r="J17"/>
  <c r="I17"/>
  <c r="H17"/>
  <c r="G17"/>
  <c r="F17"/>
  <c r="E17"/>
  <c r="D17"/>
  <c r="C17"/>
  <c r="C17" i="31"/>
  <c r="K16" i="2"/>
  <c r="J16"/>
  <c r="I16"/>
  <c r="H16"/>
  <c r="G16"/>
  <c r="F16"/>
  <c r="E16"/>
  <c r="D16"/>
  <c r="C16"/>
  <c r="C16" i="33"/>
  <c r="K15" i="2"/>
  <c r="J15"/>
  <c r="I15"/>
  <c r="H15"/>
  <c r="G15"/>
  <c r="F15"/>
  <c r="L15"/>
  <c r="AX15" i="18"/>
  <c r="E15" i="2"/>
  <c r="D15"/>
  <c r="C15"/>
  <c r="C15" i="33"/>
  <c r="K14" i="2"/>
  <c r="J14"/>
  <c r="I14"/>
  <c r="H14"/>
  <c r="G14"/>
  <c r="F14"/>
  <c r="L14"/>
  <c r="E14"/>
  <c r="D14"/>
  <c r="C14"/>
  <c r="K13"/>
  <c r="J13"/>
  <c r="L13"/>
  <c r="I13"/>
  <c r="H13"/>
  <c r="G13"/>
  <c r="F13"/>
  <c r="E13"/>
  <c r="D13"/>
  <c r="C13"/>
  <c r="C13" i="31"/>
  <c r="K12" i="2"/>
  <c r="J12"/>
  <c r="I12"/>
  <c r="H12"/>
  <c r="G12"/>
  <c r="F12"/>
  <c r="E12"/>
  <c r="D12"/>
  <c r="C12"/>
  <c r="K11"/>
  <c r="J11"/>
  <c r="I11"/>
  <c r="H11"/>
  <c r="G11"/>
  <c r="F11"/>
  <c r="E11"/>
  <c r="D11"/>
  <c r="C11"/>
  <c r="C11" i="33"/>
  <c r="K10" i="2"/>
  <c r="J10"/>
  <c r="I10"/>
  <c r="H10"/>
  <c r="G10"/>
  <c r="F10"/>
  <c r="L10"/>
  <c r="E10"/>
  <c r="D10"/>
  <c r="C10"/>
  <c r="K9"/>
  <c r="J9"/>
  <c r="I9"/>
  <c r="H9"/>
  <c r="G9"/>
  <c r="F9"/>
  <c r="E9"/>
  <c r="D9"/>
  <c r="C9"/>
  <c r="K8"/>
  <c r="J8"/>
  <c r="I8"/>
  <c r="H8"/>
  <c r="G8"/>
  <c r="M8"/>
  <c r="F8"/>
  <c r="L8"/>
  <c r="E8"/>
  <c r="D8"/>
  <c r="C8"/>
  <c r="K7"/>
  <c r="J7"/>
  <c r="I7"/>
  <c r="H7"/>
  <c r="G7"/>
  <c r="F7"/>
  <c r="L7"/>
  <c r="E7"/>
  <c r="D7"/>
  <c r="C7" i="33"/>
  <c r="C7" i="2"/>
  <c r="K6"/>
  <c r="J6"/>
  <c r="I6"/>
  <c r="I50"/>
  <c r="H6"/>
  <c r="G6"/>
  <c r="M6"/>
  <c r="E6"/>
  <c r="E50"/>
  <c r="D6"/>
  <c r="L48"/>
  <c r="M43"/>
  <c r="C40" i="33"/>
  <c r="M37" i="2"/>
  <c r="C32" i="33"/>
  <c r="C27" i="31"/>
  <c r="L24" i="2"/>
  <c r="M21"/>
  <c r="M19"/>
  <c r="L18"/>
  <c r="M17"/>
  <c r="AY17" i="18"/>
  <c r="L16" i="2"/>
  <c r="M15"/>
  <c r="M13"/>
  <c r="M9"/>
  <c r="M7"/>
  <c r="C6"/>
  <c r="AB205"/>
  <c r="AI50"/>
  <c r="AH50"/>
  <c r="AG50"/>
  <c r="AF50"/>
  <c r="AE50"/>
  <c r="AD50"/>
  <c r="AC50"/>
  <c r="AB50"/>
  <c r="AA50"/>
  <c r="AK49"/>
  <c r="AJ49"/>
  <c r="AL49"/>
  <c r="AI49" i="15"/>
  <c r="AK48" i="2"/>
  <c r="AJ48"/>
  <c r="AL48"/>
  <c r="AI48" i="15"/>
  <c r="AK47" i="2"/>
  <c r="AJ47"/>
  <c r="AL47"/>
  <c r="AI47" i="15"/>
  <c r="AK46" i="2"/>
  <c r="AJ46"/>
  <c r="AL46"/>
  <c r="AI46" i="15"/>
  <c r="AK45" i="2"/>
  <c r="AJ45"/>
  <c r="AL45"/>
  <c r="AI45" i="15"/>
  <c r="AK44" i="2"/>
  <c r="AJ44"/>
  <c r="AL44"/>
  <c r="AI44" i="15"/>
  <c r="AK43" i="2"/>
  <c r="AJ43"/>
  <c r="AL43"/>
  <c r="AI43" i="15"/>
  <c r="AK42" i="2"/>
  <c r="AJ42"/>
  <c r="AL42"/>
  <c r="AI42" i="15"/>
  <c r="AK41" i="2"/>
  <c r="AJ41"/>
  <c r="AL41"/>
  <c r="AI41" i="15"/>
  <c r="AK40" i="2"/>
  <c r="AJ40"/>
  <c r="AL40"/>
  <c r="AI40" i="15"/>
  <c r="AK39" i="2"/>
  <c r="AJ39"/>
  <c r="AL39"/>
  <c r="AI39" i="15"/>
  <c r="AK38" i="2"/>
  <c r="AJ38"/>
  <c r="AL38"/>
  <c r="AI38" i="15"/>
  <c r="AK37" i="2"/>
  <c r="AJ37"/>
  <c r="AL37"/>
  <c r="AI37" i="15"/>
  <c r="AK36" i="2"/>
  <c r="AJ36"/>
  <c r="AL36"/>
  <c r="AI36" i="15"/>
  <c r="AK35" i="2"/>
  <c r="AJ35"/>
  <c r="AL35"/>
  <c r="AI35" i="15"/>
  <c r="AK34" i="2"/>
  <c r="AJ34"/>
  <c r="AL34"/>
  <c r="AI34" i="15"/>
  <c r="AK33" i="2"/>
  <c r="AJ33"/>
  <c r="AL33"/>
  <c r="AI33" i="15"/>
  <c r="AK32" i="2"/>
  <c r="AJ32"/>
  <c r="AL32"/>
  <c r="AI32" i="15"/>
  <c r="AK31" i="2"/>
  <c r="AJ31"/>
  <c r="AL31"/>
  <c r="AI31" i="15"/>
  <c r="AK30" i="2"/>
  <c r="AJ30"/>
  <c r="AL30"/>
  <c r="AI30" i="15"/>
  <c r="AK29" i="2"/>
  <c r="AJ29"/>
  <c r="AK28"/>
  <c r="AJ28"/>
  <c r="AL28"/>
  <c r="AI28" i="15"/>
  <c r="AK27" i="2"/>
  <c r="AJ27"/>
  <c r="AL27"/>
  <c r="AI27" i="15"/>
  <c r="AK26" i="2"/>
  <c r="AJ26"/>
  <c r="AL26"/>
  <c r="AI26" i="15"/>
  <c r="AK25" i="2"/>
  <c r="AJ25"/>
  <c r="AL25"/>
  <c r="AI25" i="15"/>
  <c r="AK24" i="2"/>
  <c r="AJ24"/>
  <c r="AL24"/>
  <c r="AI24" i="15"/>
  <c r="AK23" i="2"/>
  <c r="AJ23"/>
  <c r="AL23"/>
  <c r="AI23" i="15"/>
  <c r="AK22" i="2"/>
  <c r="AJ22"/>
  <c r="AL22"/>
  <c r="AI22" i="15"/>
  <c r="AK21" i="2"/>
  <c r="AJ21"/>
  <c r="AL21"/>
  <c r="AI21" i="15"/>
  <c r="AK20" i="2"/>
  <c r="AJ20"/>
  <c r="AL20"/>
  <c r="AI20" i="15"/>
  <c r="AK19" i="2"/>
  <c r="AJ19"/>
  <c r="AL19"/>
  <c r="AI19" i="15"/>
  <c r="AK18" i="2"/>
  <c r="AJ18"/>
  <c r="AL18"/>
  <c r="AI18" i="15"/>
  <c r="AK17" i="2"/>
  <c r="AJ17"/>
  <c r="AL17"/>
  <c r="AI17" i="15"/>
  <c r="AK16" i="2"/>
  <c r="AJ16"/>
  <c r="AK15"/>
  <c r="AJ15"/>
  <c r="AL15"/>
  <c r="AI15" i="15"/>
  <c r="AK14" i="2"/>
  <c r="AJ14"/>
  <c r="AL14"/>
  <c r="AI14" i="15"/>
  <c r="AK13" i="2"/>
  <c r="AJ13"/>
  <c r="F2" i="96"/>
  <c r="AK12" i="2"/>
  <c r="AJ12"/>
  <c r="AL12"/>
  <c r="AI12" i="15"/>
  <c r="AK11" i="2"/>
  <c r="AJ11"/>
  <c r="AL11"/>
  <c r="AI11" i="15"/>
  <c r="AK10" i="2"/>
  <c r="AJ10"/>
  <c r="AL10"/>
  <c r="AI10" i="15"/>
  <c r="AK9" i="2"/>
  <c r="AJ9"/>
  <c r="AL9"/>
  <c r="AI9" i="15"/>
  <c r="AK8" i="2"/>
  <c r="AJ8"/>
  <c r="AL8"/>
  <c r="AI8" i="15"/>
  <c r="AK7" i="2"/>
  <c r="AJ7"/>
  <c r="AL7"/>
  <c r="AI7" i="15"/>
  <c r="AK6" i="2"/>
  <c r="AJ6"/>
  <c r="G28" i="65"/>
  <c r="G31"/>
  <c r="J181" i="71"/>
  <c r="A199" i="2"/>
  <c r="K33" i="47"/>
  <c r="G6" i="73"/>
  <c r="G11" s="1"/>
  <c r="I11" s="1"/>
  <c r="D7"/>
  <c r="L7" s="1"/>
  <c r="D8"/>
  <c r="D9"/>
  <c r="D10"/>
  <c r="D6"/>
  <c r="C6"/>
  <c r="E6" s="1"/>
  <c r="B6"/>
  <c r="B7"/>
  <c r="B8"/>
  <c r="B9"/>
  <c r="B10"/>
  <c r="A7"/>
  <c r="A8"/>
  <c r="A9"/>
  <c r="A10"/>
  <c r="A6"/>
  <c r="F11" i="11"/>
  <c r="H11"/>
  <c r="J11"/>
  <c r="K11"/>
  <c r="L11"/>
  <c r="H10" i="73"/>
  <c r="G10"/>
  <c r="H9"/>
  <c r="L9" s="1"/>
  <c r="G9"/>
  <c r="H8"/>
  <c r="G8"/>
  <c r="I8" s="1"/>
  <c r="H7"/>
  <c r="H11" s="1"/>
  <c r="G7"/>
  <c r="H6"/>
  <c r="A51" i="2"/>
  <c r="K53" i="47"/>
  <c r="AB7" i="5"/>
  <c r="K158" i="47"/>
  <c r="K181" i="69"/>
  <c r="F130"/>
  <c r="C22" i="63"/>
  <c r="C15"/>
  <c r="C8"/>
  <c r="B22" i="65"/>
  <c r="C24" i="63"/>
  <c r="C23"/>
  <c r="C17"/>
  <c r="C16"/>
  <c r="C10"/>
  <c r="C9"/>
  <c r="A3" i="32"/>
  <c r="A30" i="23"/>
  <c r="V50" i="7"/>
  <c r="U50"/>
  <c r="V49"/>
  <c r="U49"/>
  <c r="E48" i="31"/>
  <c r="V48" i="7"/>
  <c r="U48"/>
  <c r="E47" i="33"/>
  <c r="V47" i="7"/>
  <c r="U47"/>
  <c r="E46" i="31"/>
  <c r="V46" i="7"/>
  <c r="U46"/>
  <c r="V45"/>
  <c r="U45"/>
  <c r="V44"/>
  <c r="U44"/>
  <c r="V43"/>
  <c r="U43"/>
  <c r="V42"/>
  <c r="U42"/>
  <c r="E41" i="33"/>
  <c r="V41" i="7"/>
  <c r="U41"/>
  <c r="V40"/>
  <c r="U40"/>
  <c r="V39"/>
  <c r="U39"/>
  <c r="E38" i="31"/>
  <c r="V38" i="7"/>
  <c r="U38"/>
  <c r="E37" i="33"/>
  <c r="V37" i="7"/>
  <c r="U37"/>
  <c r="E36" i="33"/>
  <c r="V36" i="7"/>
  <c r="U36"/>
  <c r="E35" i="33"/>
  <c r="V35" i="7"/>
  <c r="U35"/>
  <c r="E34" i="31"/>
  <c r="V34" i="7"/>
  <c r="U34"/>
  <c r="E33" i="31"/>
  <c r="V33" i="7"/>
  <c r="U33"/>
  <c r="V32"/>
  <c r="U32"/>
  <c r="V31"/>
  <c r="E30" i="31"/>
  <c r="U31" i="7"/>
  <c r="V30"/>
  <c r="U30"/>
  <c r="E29" i="33"/>
  <c r="V29" i="7"/>
  <c r="U29"/>
  <c r="E28" i="33"/>
  <c r="V28" i="7"/>
  <c r="U28"/>
  <c r="E27" i="31"/>
  <c r="V27" i="7"/>
  <c r="U27"/>
  <c r="E26" i="33"/>
  <c r="V26" i="7"/>
  <c r="U26"/>
  <c r="E25" i="33"/>
  <c r="V25" i="7"/>
  <c r="E24" i="31"/>
  <c r="U25" i="7"/>
  <c r="V24"/>
  <c r="U24"/>
  <c r="V23"/>
  <c r="U23"/>
  <c r="V22"/>
  <c r="U22"/>
  <c r="E21" i="31"/>
  <c r="V21" i="7"/>
  <c r="U21"/>
  <c r="E20" i="31"/>
  <c r="V20" i="7"/>
  <c r="U20"/>
  <c r="V19"/>
  <c r="U19"/>
  <c r="E18" i="33"/>
  <c r="V18" i="7"/>
  <c r="U18"/>
  <c r="E17" i="31"/>
  <c r="V17" i="7"/>
  <c r="U17"/>
  <c r="V16"/>
  <c r="U16"/>
  <c r="E15" i="33"/>
  <c r="V15" i="7"/>
  <c r="U15"/>
  <c r="E14" i="33"/>
  <c r="V14" i="7"/>
  <c r="U14"/>
  <c r="V13"/>
  <c r="U13"/>
  <c r="V12"/>
  <c r="U12"/>
  <c r="V11"/>
  <c r="U11"/>
  <c r="E10" i="31"/>
  <c r="V10" i="7"/>
  <c r="U10"/>
  <c r="V9"/>
  <c r="U9"/>
  <c r="V8"/>
  <c r="U8"/>
  <c r="V7"/>
  <c r="U7"/>
  <c r="P51"/>
  <c r="O51"/>
  <c r="Q51"/>
  <c r="R51"/>
  <c r="T51"/>
  <c r="S51"/>
  <c r="M51" i="8"/>
  <c r="N51"/>
  <c r="K163" i="72"/>
  <c r="I162"/>
  <c r="C172" i="47"/>
  <c r="J161" i="72"/>
  <c r="H161"/>
  <c r="J159"/>
  <c r="H159"/>
  <c r="J157"/>
  <c r="H157"/>
  <c r="J155"/>
  <c r="H155"/>
  <c r="J153"/>
  <c r="H153"/>
  <c r="J151"/>
  <c r="H151"/>
  <c r="J149"/>
  <c r="H149"/>
  <c r="J147"/>
  <c r="H147"/>
  <c r="J145"/>
  <c r="H145"/>
  <c r="J143"/>
  <c r="H143"/>
  <c r="J141"/>
  <c r="H141"/>
  <c r="G138"/>
  <c r="J135"/>
  <c r="J129"/>
  <c r="H129"/>
  <c r="J127"/>
  <c r="H127"/>
  <c r="J125"/>
  <c r="H125"/>
  <c r="J123"/>
  <c r="H123"/>
  <c r="J121"/>
  <c r="H121"/>
  <c r="J119"/>
  <c r="H119"/>
  <c r="J117"/>
  <c r="H117"/>
  <c r="J115"/>
  <c r="H115"/>
  <c r="J113"/>
  <c r="H113"/>
  <c r="J111"/>
  <c r="H111"/>
  <c r="J109"/>
  <c r="H109"/>
  <c r="G106"/>
  <c r="J103"/>
  <c r="J97"/>
  <c r="H97"/>
  <c r="J95"/>
  <c r="H95"/>
  <c r="J93"/>
  <c r="H93"/>
  <c r="J91"/>
  <c r="H91"/>
  <c r="J89"/>
  <c r="H89"/>
  <c r="J87"/>
  <c r="H87"/>
  <c r="J85"/>
  <c r="H85"/>
  <c r="J83"/>
  <c r="H83"/>
  <c r="J81"/>
  <c r="H81"/>
  <c r="J79"/>
  <c r="H79"/>
  <c r="J77"/>
  <c r="H77"/>
  <c r="G74"/>
  <c r="J71"/>
  <c r="J65"/>
  <c r="H65"/>
  <c r="J63"/>
  <c r="H63"/>
  <c r="J61"/>
  <c r="H61"/>
  <c r="J59"/>
  <c r="H59"/>
  <c r="J57"/>
  <c r="H57"/>
  <c r="J55"/>
  <c r="H55"/>
  <c r="J53"/>
  <c r="H53"/>
  <c r="J51"/>
  <c r="H51"/>
  <c r="J49"/>
  <c r="H49"/>
  <c r="J47"/>
  <c r="H47"/>
  <c r="J45"/>
  <c r="H45"/>
  <c r="G42"/>
  <c r="J39"/>
  <c r="J33"/>
  <c r="H33"/>
  <c r="J31"/>
  <c r="H31"/>
  <c r="J29"/>
  <c r="H29"/>
  <c r="J27"/>
  <c r="H27"/>
  <c r="J25"/>
  <c r="H25"/>
  <c r="J23"/>
  <c r="H23"/>
  <c r="J21"/>
  <c r="H21"/>
  <c r="J19"/>
  <c r="H19"/>
  <c r="J17"/>
  <c r="H17"/>
  <c r="J15"/>
  <c r="H15"/>
  <c r="J13"/>
  <c r="H13"/>
  <c r="G10"/>
  <c r="J7"/>
  <c r="H7"/>
  <c r="K181" i="71"/>
  <c r="J104"/>
  <c r="J102"/>
  <c r="H102"/>
  <c r="J100"/>
  <c r="H100"/>
  <c r="J98"/>
  <c r="H98"/>
  <c r="J96"/>
  <c r="H96"/>
  <c r="J94"/>
  <c r="H94"/>
  <c r="J92"/>
  <c r="H92"/>
  <c r="J90"/>
  <c r="H90"/>
  <c r="J88"/>
  <c r="H88"/>
  <c r="J86"/>
  <c r="H86"/>
  <c r="J84"/>
  <c r="H84"/>
  <c r="F72"/>
  <c r="G70"/>
  <c r="G67"/>
  <c r="J64"/>
  <c r="G61"/>
  <c r="G58"/>
  <c r="G55"/>
  <c r="G44"/>
  <c r="G37"/>
  <c r="J34"/>
  <c r="H34"/>
  <c r="J32"/>
  <c r="H32"/>
  <c r="J22"/>
  <c r="H22"/>
  <c r="J20"/>
  <c r="H20"/>
  <c r="J18"/>
  <c r="H18"/>
  <c r="J11"/>
  <c r="H11"/>
  <c r="N181" i="70"/>
  <c r="M181"/>
  <c r="L181"/>
  <c r="K181"/>
  <c r="G70"/>
  <c r="J64"/>
  <c r="H64"/>
  <c r="G61"/>
  <c r="G58"/>
  <c r="G55"/>
  <c r="J119"/>
  <c r="G44"/>
  <c r="G42"/>
  <c r="G37"/>
  <c r="J34"/>
  <c r="H34"/>
  <c r="J32"/>
  <c r="H32"/>
  <c r="J26"/>
  <c r="J25"/>
  <c r="J22"/>
  <c r="H22"/>
  <c r="J20"/>
  <c r="H20"/>
  <c r="J18"/>
  <c r="H18"/>
  <c r="J14"/>
  <c r="H14"/>
  <c r="H11"/>
  <c r="G70" i="69"/>
  <c r="G67"/>
  <c r="J64"/>
  <c r="G61"/>
  <c r="G58"/>
  <c r="G55"/>
  <c r="G44"/>
  <c r="G37"/>
  <c r="J34"/>
  <c r="H34"/>
  <c r="J32"/>
  <c r="H32"/>
  <c r="J22"/>
  <c r="H22"/>
  <c r="J20"/>
  <c r="H20"/>
  <c r="J18"/>
  <c r="H18"/>
  <c r="J11"/>
  <c r="H11"/>
  <c r="G8"/>
  <c r="G6"/>
  <c r="A33" i="23"/>
  <c r="M14" i="2"/>
  <c r="P16" i="32"/>
  <c r="M12" i="2"/>
  <c r="L12"/>
  <c r="C13" i="30"/>
  <c r="G13" s="1"/>
  <c r="B7" i="68"/>
  <c r="B6"/>
  <c r="B5"/>
  <c r="A6"/>
  <c r="A5"/>
  <c r="A203" i="2"/>
  <c r="L6"/>
  <c r="AY6" i="18"/>
  <c r="AY7"/>
  <c r="L9" i="2"/>
  <c r="AU6" i="18"/>
  <c r="AU7"/>
  <c r="M9" i="32"/>
  <c r="E32" i="23"/>
  <c r="E35"/>
  <c r="B26" i="65"/>
  <c r="B23"/>
  <c r="B24"/>
  <c r="B25"/>
  <c r="B19"/>
  <c r="B13"/>
  <c r="B8"/>
  <c r="B6"/>
  <c r="B30"/>
  <c r="B27"/>
  <c r="B16"/>
  <c r="B15"/>
  <c r="D205" i="2"/>
  <c r="G50" i="14"/>
  <c r="L50"/>
  <c r="P50"/>
  <c r="T50"/>
  <c r="V50"/>
  <c r="A52"/>
  <c r="A51"/>
  <c r="A52" i="15"/>
  <c r="A51"/>
  <c r="C52" i="18"/>
  <c r="C51"/>
  <c r="A54" i="43"/>
  <c r="A53"/>
  <c r="A52" i="4"/>
  <c r="A51"/>
  <c r="A53" i="5"/>
  <c r="A52"/>
  <c r="A52" i="6"/>
  <c r="A51"/>
  <c r="A53" i="7"/>
  <c r="A54"/>
  <c r="A54" i="8"/>
  <c r="A53"/>
  <c r="C28" i="65"/>
  <c r="C31"/>
  <c r="A47" i="29"/>
  <c r="B47"/>
  <c r="E47"/>
  <c r="D47"/>
  <c r="A48"/>
  <c r="B48"/>
  <c r="D48"/>
  <c r="A49"/>
  <c r="B49"/>
  <c r="D49"/>
  <c r="AA52" i="18"/>
  <c r="AA51"/>
  <c r="A1" i="2"/>
  <c r="A51" i="58"/>
  <c r="B20" i="35"/>
  <c r="C20"/>
  <c r="A20"/>
  <c r="C19"/>
  <c r="E19"/>
  <c r="B19"/>
  <c r="A19"/>
  <c r="G49" i="64"/>
  <c r="G48"/>
  <c r="G47"/>
  <c r="G46"/>
  <c r="G45"/>
  <c r="G44"/>
  <c r="G43"/>
  <c r="G42"/>
  <c r="G41"/>
  <c r="G40"/>
  <c r="G39"/>
  <c r="G38"/>
  <c r="G37"/>
  <c r="G36"/>
  <c r="G35"/>
  <c r="G33"/>
  <c r="G32"/>
  <c r="G31"/>
  <c r="G30"/>
  <c r="G29"/>
  <c r="G28"/>
  <c r="G27"/>
  <c r="G26"/>
  <c r="G25"/>
  <c r="G24"/>
  <c r="G23"/>
  <c r="G21"/>
  <c r="G20"/>
  <c r="G19"/>
  <c r="G18"/>
  <c r="G17"/>
  <c r="G16"/>
  <c r="G15"/>
  <c r="G14"/>
  <c r="G13"/>
  <c r="G12"/>
  <c r="G11"/>
  <c r="G10"/>
  <c r="G9"/>
  <c r="G8"/>
  <c r="G7"/>
  <c r="G6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C27" i="46"/>
  <c r="C28"/>
  <c r="C29"/>
  <c r="C30"/>
  <c r="B27"/>
  <c r="B28"/>
  <c r="B29"/>
  <c r="B30"/>
  <c r="A27"/>
  <c r="A28"/>
  <c r="A29"/>
  <c r="A30"/>
  <c r="E48" i="48"/>
  <c r="B48"/>
  <c r="A48"/>
  <c r="B48" i="45"/>
  <c r="A48"/>
  <c r="F48" i="44"/>
  <c r="B48"/>
  <c r="A48"/>
  <c r="B48" i="33"/>
  <c r="A48"/>
  <c r="X50" i="32"/>
  <c r="W50"/>
  <c r="V50"/>
  <c r="U50"/>
  <c r="T50"/>
  <c r="S50"/>
  <c r="R50"/>
  <c r="Q50"/>
  <c r="K50"/>
  <c r="J50"/>
  <c r="I50"/>
  <c r="H50"/>
  <c r="G50"/>
  <c r="F50"/>
  <c r="E50"/>
  <c r="D50"/>
  <c r="B50"/>
  <c r="A50"/>
  <c r="B49" i="30"/>
  <c r="A49"/>
  <c r="B48" i="31"/>
  <c r="A48"/>
  <c r="B48" i="58"/>
  <c r="A48"/>
  <c r="W48" i="14"/>
  <c r="C48" i="64"/>
  <c r="H48"/>
  <c r="B48" i="14"/>
  <c r="A48"/>
  <c r="B48" i="15"/>
  <c r="A48"/>
  <c r="V50" i="43"/>
  <c r="U50"/>
  <c r="B50"/>
  <c r="A50"/>
  <c r="AV48" i="18"/>
  <c r="Z50" i="32"/>
  <c r="AU48" i="18"/>
  <c r="M50" i="32"/>
  <c r="B48" i="18"/>
  <c r="A48"/>
  <c r="P48" i="4"/>
  <c r="K49" i="30"/>
  <c r="O48" i="4"/>
  <c r="F49" i="30"/>
  <c r="B48" i="4"/>
  <c r="A48"/>
  <c r="AB48" i="5"/>
  <c r="J49" i="30"/>
  <c r="AA48" i="5"/>
  <c r="E49" i="30"/>
  <c r="B48" i="5"/>
  <c r="A48"/>
  <c r="X48" i="6"/>
  <c r="I49" i="30"/>
  <c r="W48" i="6"/>
  <c r="D49" i="30"/>
  <c r="B48" i="6"/>
  <c r="A48"/>
  <c r="B49" i="7"/>
  <c r="A49"/>
  <c r="T49" i="8"/>
  <c r="S49"/>
  <c r="D48" i="31"/>
  <c r="B49" i="8"/>
  <c r="A49"/>
  <c r="AS50" i="9"/>
  <c r="G48" i="48"/>
  <c r="AU48" i="9"/>
  <c r="B48"/>
  <c r="AS5" s="1"/>
  <c r="A48"/>
  <c r="B48" i="20"/>
  <c r="A48"/>
  <c r="M48" i="2"/>
  <c r="H49" i="30"/>
  <c r="V51" i="43"/>
  <c r="U51"/>
  <c r="C49" i="85"/>
  <c r="D49" s="1"/>
  <c r="V49" i="43"/>
  <c r="U49"/>
  <c r="C47" i="85"/>
  <c r="D47" s="1"/>
  <c r="U48" i="43"/>
  <c r="C46" i="85"/>
  <c r="D46" s="1"/>
  <c r="U45" i="43"/>
  <c r="U44"/>
  <c r="V43"/>
  <c r="U43"/>
  <c r="V42"/>
  <c r="U42"/>
  <c r="C40" i="85"/>
  <c r="D40" s="1"/>
  <c r="V41" i="43"/>
  <c r="U41"/>
  <c r="C39" i="85"/>
  <c r="D39"/>
  <c r="U39" i="43"/>
  <c r="C37" i="85"/>
  <c r="D37"/>
  <c r="U38" i="43"/>
  <c r="U37"/>
  <c r="C35" i="85"/>
  <c r="D35" s="1"/>
  <c r="C35" i="48"/>
  <c r="U36" i="43"/>
  <c r="U35"/>
  <c r="U33"/>
  <c r="C31" i="48"/>
  <c r="U32" i="43"/>
  <c r="U31"/>
  <c r="U29"/>
  <c r="C27" i="85"/>
  <c r="D27" s="1"/>
  <c r="U27" i="43"/>
  <c r="C25" i="85"/>
  <c r="D25" s="1"/>
  <c r="U26" i="43"/>
  <c r="V25"/>
  <c r="U25"/>
  <c r="C23" i="48"/>
  <c r="V24" i="43"/>
  <c r="U24"/>
  <c r="C22" i="85"/>
  <c r="D22" s="1"/>
  <c r="V23" i="43"/>
  <c r="U23"/>
  <c r="C21" i="85"/>
  <c r="D21"/>
  <c r="H21" s="1"/>
  <c r="U22" i="43"/>
  <c r="C20" i="85"/>
  <c r="D20"/>
  <c r="U21" i="43"/>
  <c r="C19" i="48"/>
  <c r="U20" i="43"/>
  <c r="C18" i="85"/>
  <c r="D18"/>
  <c r="U19" i="43"/>
  <c r="U18"/>
  <c r="C16" i="85"/>
  <c r="D16" s="1"/>
  <c r="V17" i="43"/>
  <c r="U17"/>
  <c r="C15" i="85"/>
  <c r="D15"/>
  <c r="U16" i="43"/>
  <c r="C14" i="85"/>
  <c r="D14"/>
  <c r="U15" i="43"/>
  <c r="C13" i="48"/>
  <c r="U14" i="43"/>
  <c r="C12" i="85"/>
  <c r="D12"/>
  <c r="V13" i="43"/>
  <c r="U13"/>
  <c r="V12"/>
  <c r="U12"/>
  <c r="V11"/>
  <c r="U11"/>
  <c r="C9" i="48"/>
  <c r="U9" i="43"/>
  <c r="G52"/>
  <c r="C14" i="68"/>
  <c r="D14"/>
  <c r="T50" i="8"/>
  <c r="S50"/>
  <c r="D49" i="44"/>
  <c r="T48" i="8"/>
  <c r="S48"/>
  <c r="T47"/>
  <c r="S47"/>
  <c r="D46" i="44"/>
  <c r="T46" i="8"/>
  <c r="S46"/>
  <c r="T45"/>
  <c r="S45"/>
  <c r="D44" i="33"/>
  <c r="T44" i="8"/>
  <c r="S44"/>
  <c r="T43"/>
  <c r="S43"/>
  <c r="H42" i="48"/>
  <c r="T42" i="8"/>
  <c r="S42"/>
  <c r="T41"/>
  <c r="S41"/>
  <c r="H40" i="48"/>
  <c r="T40" i="8"/>
  <c r="S40"/>
  <c r="T39"/>
  <c r="S39"/>
  <c r="D38" i="44"/>
  <c r="T38" i="8"/>
  <c r="S38"/>
  <c r="T37"/>
  <c r="S37"/>
  <c r="H36" i="48"/>
  <c r="T36" i="8"/>
  <c r="S36"/>
  <c r="T35"/>
  <c r="S35"/>
  <c r="D34" i="44"/>
  <c r="T34" i="8"/>
  <c r="S34"/>
  <c r="T33"/>
  <c r="S33"/>
  <c r="D32" i="44"/>
  <c r="T32" i="8"/>
  <c r="S32"/>
  <c r="T31"/>
  <c r="H30" i="48"/>
  <c r="S31" i="8"/>
  <c r="T30"/>
  <c r="S30"/>
  <c r="T29"/>
  <c r="S29"/>
  <c r="D28" i="33"/>
  <c r="T28" i="8"/>
  <c r="S28"/>
  <c r="T27"/>
  <c r="S27"/>
  <c r="H26" i="48"/>
  <c r="T26" i="8"/>
  <c r="S26"/>
  <c r="T25"/>
  <c r="S25"/>
  <c r="H24" i="48"/>
  <c r="T24" i="8"/>
  <c r="S24"/>
  <c r="T23"/>
  <c r="S23"/>
  <c r="D22" i="44"/>
  <c r="T22" i="8"/>
  <c r="S22"/>
  <c r="H21" i="48"/>
  <c r="T21" i="8"/>
  <c r="S21"/>
  <c r="T20"/>
  <c r="S20"/>
  <c r="D19" i="44"/>
  <c r="T19" i="8"/>
  <c r="S19"/>
  <c r="T18"/>
  <c r="S18"/>
  <c r="D17" i="33"/>
  <c r="T17" i="8"/>
  <c r="S17"/>
  <c r="D16" i="44"/>
  <c r="T16" i="8"/>
  <c r="S16"/>
  <c r="T15"/>
  <c r="S15"/>
  <c r="D14" i="33"/>
  <c r="T14" i="8"/>
  <c r="S14"/>
  <c r="D13" i="33"/>
  <c r="T13" i="8"/>
  <c r="S13"/>
  <c r="H12" i="48"/>
  <c r="T12" i="8"/>
  <c r="S12"/>
  <c r="T11"/>
  <c r="S11"/>
  <c r="H10" i="48"/>
  <c r="T10" i="8"/>
  <c r="S10"/>
  <c r="T9"/>
  <c r="S9"/>
  <c r="D8" i="31"/>
  <c r="T8" i="8"/>
  <c r="S8"/>
  <c r="T7"/>
  <c r="S7"/>
  <c r="H6" i="48"/>
  <c r="P51" i="8"/>
  <c r="O51"/>
  <c r="AB49" i="5"/>
  <c r="AA49"/>
  <c r="E50" i="30"/>
  <c r="AB47" i="5"/>
  <c r="J48" i="30"/>
  <c r="AA47" i="5"/>
  <c r="E48" i="30"/>
  <c r="AB46" i="5"/>
  <c r="AA46"/>
  <c r="AB45"/>
  <c r="J46" i="30"/>
  <c r="AA45" i="5"/>
  <c r="AB44"/>
  <c r="AA44"/>
  <c r="E45" i="30"/>
  <c r="AB43" i="5"/>
  <c r="J44" i="30"/>
  <c r="AA43" i="5"/>
  <c r="AB42"/>
  <c r="J43" i="30"/>
  <c r="AA42" i="5"/>
  <c r="E43" i="30"/>
  <c r="AB41" i="5"/>
  <c r="J42" i="30"/>
  <c r="AA41" i="5"/>
  <c r="AB40"/>
  <c r="AA40"/>
  <c r="E41" i="30"/>
  <c r="AB39" i="5"/>
  <c r="J40" i="30"/>
  <c r="AA39" i="5"/>
  <c r="AB38"/>
  <c r="AA38"/>
  <c r="E39" i="30"/>
  <c r="AB37" i="5"/>
  <c r="J38" i="30"/>
  <c r="AA37" i="5"/>
  <c r="AB36"/>
  <c r="AA36"/>
  <c r="AB35"/>
  <c r="J36" i="30"/>
  <c r="AA35" i="5"/>
  <c r="AB34"/>
  <c r="AA34"/>
  <c r="E35" i="30"/>
  <c r="AB33" i="5"/>
  <c r="J34" i="30"/>
  <c r="AA33" i="5"/>
  <c r="AB32"/>
  <c r="AA32"/>
  <c r="E33" i="30"/>
  <c r="AB31" i="5"/>
  <c r="J32" i="30"/>
  <c r="AA31" i="5"/>
  <c r="AB30"/>
  <c r="J31" i="30"/>
  <c r="AA30" i="5"/>
  <c r="E31" i="30"/>
  <c r="AB29" i="5"/>
  <c r="J30" i="30"/>
  <c r="AA29" i="5"/>
  <c r="AB28"/>
  <c r="AA28"/>
  <c r="E29" i="30"/>
  <c r="AB27" i="5"/>
  <c r="J28" i="30"/>
  <c r="AA27" i="5"/>
  <c r="AB26"/>
  <c r="AA26"/>
  <c r="E27" i="30"/>
  <c r="AB25" i="5"/>
  <c r="J26" i="30"/>
  <c r="AA25" i="5"/>
  <c r="AB24"/>
  <c r="AA24"/>
  <c r="E25" i="30"/>
  <c r="AB23" i="5"/>
  <c r="J24" i="30"/>
  <c r="AA23" i="5"/>
  <c r="AB22"/>
  <c r="AA22"/>
  <c r="E23" i="30"/>
  <c r="AB21" i="5"/>
  <c r="J22" i="30"/>
  <c r="AA21" i="5"/>
  <c r="AB20"/>
  <c r="AA20"/>
  <c r="E21" i="30"/>
  <c r="AB19" i="5"/>
  <c r="J20" i="30"/>
  <c r="AA19" i="5"/>
  <c r="AB18"/>
  <c r="AA18"/>
  <c r="E19" i="30"/>
  <c r="AB17" i="5"/>
  <c r="J18" i="30"/>
  <c r="AA17" i="5"/>
  <c r="AB16"/>
  <c r="AA16"/>
  <c r="E17" i="30"/>
  <c r="AB15" i="5"/>
  <c r="J16" i="30"/>
  <c r="AA15" i="5"/>
  <c r="AB14"/>
  <c r="AA14"/>
  <c r="AB13"/>
  <c r="J14" i="30"/>
  <c r="AA13" i="5"/>
  <c r="AB12"/>
  <c r="AA12"/>
  <c r="E13" i="30"/>
  <c r="AB11" i="5"/>
  <c r="J12" i="30"/>
  <c r="AA11" i="5"/>
  <c r="AB10"/>
  <c r="J11" i="30"/>
  <c r="AA10" i="5"/>
  <c r="E11" i="30"/>
  <c r="AB9" i="5"/>
  <c r="J10" i="30"/>
  <c r="AA9" i="5"/>
  <c r="AB8"/>
  <c r="AA8"/>
  <c r="E9" i="30"/>
  <c r="J8"/>
  <c r="AA7" i="5"/>
  <c r="AB6"/>
  <c r="J7" i="30"/>
  <c r="AA6" i="5"/>
  <c r="X50"/>
  <c r="W50"/>
  <c r="X49" i="6"/>
  <c r="I50" i="30"/>
  <c r="W49" i="6"/>
  <c r="D50" i="30"/>
  <c r="X47" i="6"/>
  <c r="I48" i="30"/>
  <c r="W47" i="6"/>
  <c r="D48" i="30"/>
  <c r="X46" i="6"/>
  <c r="I47" i="30"/>
  <c r="W46" i="6"/>
  <c r="D47" i="30"/>
  <c r="X45" i="6"/>
  <c r="I46" i="30"/>
  <c r="W45" i="6"/>
  <c r="X44"/>
  <c r="I45" i="30"/>
  <c r="W44" i="6"/>
  <c r="D45" i="30"/>
  <c r="X43" i="6"/>
  <c r="I44" i="30"/>
  <c r="W43" i="6"/>
  <c r="X42"/>
  <c r="W42"/>
  <c r="D43" i="30"/>
  <c r="X41" i="6"/>
  <c r="I42" i="30"/>
  <c r="W41" i="6"/>
  <c r="D42" i="30"/>
  <c r="X40" i="6"/>
  <c r="I41" i="30"/>
  <c r="W40" i="6"/>
  <c r="D41" i="30"/>
  <c r="X39" i="6"/>
  <c r="I40" i="30"/>
  <c r="W39" i="6"/>
  <c r="X38"/>
  <c r="I39" i="30"/>
  <c r="W38" i="6"/>
  <c r="D39" i="30"/>
  <c r="X37" i="6"/>
  <c r="I38" i="30"/>
  <c r="W37" i="6"/>
  <c r="D38" i="30"/>
  <c r="X36" i="6"/>
  <c r="I37" i="30"/>
  <c r="W36" i="6"/>
  <c r="D37" i="30"/>
  <c r="X35" i="6"/>
  <c r="I36" i="30"/>
  <c r="W35" i="6"/>
  <c r="D36" i="30"/>
  <c r="X34" i="6"/>
  <c r="I35" i="30"/>
  <c r="W34" i="6"/>
  <c r="D35" i="30"/>
  <c r="X33" i="6"/>
  <c r="I34" i="30"/>
  <c r="W33" i="6"/>
  <c r="X32"/>
  <c r="I33" i="30"/>
  <c r="W32" i="6"/>
  <c r="D33" i="30"/>
  <c r="X31" i="6"/>
  <c r="I32" i="30"/>
  <c r="W31" i="6"/>
  <c r="D32" i="30"/>
  <c r="X30" i="6"/>
  <c r="I31" i="30"/>
  <c r="W30" i="6"/>
  <c r="D31" i="30"/>
  <c r="X29" i="6"/>
  <c r="I30" i="30"/>
  <c r="W29" i="6"/>
  <c r="X28"/>
  <c r="I29" i="30"/>
  <c r="W28" i="6"/>
  <c r="X27"/>
  <c r="I28" i="30"/>
  <c r="W27" i="6"/>
  <c r="D28" i="30"/>
  <c r="X26" i="6"/>
  <c r="W26"/>
  <c r="D27" i="30"/>
  <c r="X25" i="6"/>
  <c r="I26" i="30"/>
  <c r="W25" i="6"/>
  <c r="X24"/>
  <c r="I25" i="30"/>
  <c r="W24" i="6"/>
  <c r="D25" i="30"/>
  <c r="X23" i="6"/>
  <c r="I24" i="30"/>
  <c r="W23" i="6"/>
  <c r="D24" i="30"/>
  <c r="X22" i="6"/>
  <c r="I23" i="30"/>
  <c r="W22" i="6"/>
  <c r="D23" i="30"/>
  <c r="X21" i="6"/>
  <c r="I22" i="30"/>
  <c r="W21" i="6"/>
  <c r="X20"/>
  <c r="I21" i="30"/>
  <c r="W20" i="6"/>
  <c r="D21" i="30"/>
  <c r="X19" i="6"/>
  <c r="I20" i="30"/>
  <c r="W19" i="6"/>
  <c r="D20" i="30"/>
  <c r="X18" i="6"/>
  <c r="I19" i="30"/>
  <c r="W18" i="6"/>
  <c r="D19" i="30"/>
  <c r="X17" i="6"/>
  <c r="I18" i="30"/>
  <c r="W17" i="6"/>
  <c r="X16"/>
  <c r="I17" i="30"/>
  <c r="W16" i="6"/>
  <c r="D17" i="30"/>
  <c r="X15" i="6"/>
  <c r="I16" i="30"/>
  <c r="W15" i="6"/>
  <c r="D16" i="30"/>
  <c r="X14" i="6"/>
  <c r="I15" i="30"/>
  <c r="W14" i="6"/>
  <c r="D15" i="30"/>
  <c r="X13" i="6"/>
  <c r="I14" i="30"/>
  <c r="W13" i="6"/>
  <c r="X12"/>
  <c r="W12"/>
  <c r="D13" i="30"/>
  <c r="X11" i="6"/>
  <c r="I12" i="30"/>
  <c r="W11" i="6"/>
  <c r="X10"/>
  <c r="W10"/>
  <c r="D11" i="30"/>
  <c r="X9" i="6"/>
  <c r="I10" i="30"/>
  <c r="W9" i="6"/>
  <c r="X8"/>
  <c r="I9" i="30"/>
  <c r="W8" i="6"/>
  <c r="D9" i="30"/>
  <c r="X7" i="6"/>
  <c r="I8" i="30"/>
  <c r="W7" i="6"/>
  <c r="D8" i="30"/>
  <c r="X6" i="6"/>
  <c r="I7" i="30"/>
  <c r="W6" i="6"/>
  <c r="T50"/>
  <c r="S50"/>
  <c r="A3" i="63"/>
  <c r="B20"/>
  <c r="B13"/>
  <c r="B6"/>
  <c r="X51" i="32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52" s="1"/>
  <c r="X14"/>
  <c r="X13"/>
  <c r="X12"/>
  <c r="X11"/>
  <c r="X10"/>
  <c r="X9"/>
  <c r="X8"/>
  <c r="W51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52" s="1"/>
  <c r="W9"/>
  <c r="W8"/>
  <c r="K51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52" s="1"/>
  <c r="K9"/>
  <c r="K8"/>
  <c r="J51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52" s="1"/>
  <c r="E16" i="46"/>
  <c r="E14"/>
  <c r="E15"/>
  <c r="C16"/>
  <c r="G16" s="1"/>
  <c r="B16"/>
  <c r="A16"/>
  <c r="K23" i="47"/>
  <c r="K24"/>
  <c r="K25"/>
  <c r="K26"/>
  <c r="K22"/>
  <c r="A6" i="48"/>
  <c r="B6"/>
  <c r="E6"/>
  <c r="A7"/>
  <c r="B7"/>
  <c r="E7"/>
  <c r="A8"/>
  <c r="B8"/>
  <c r="E8"/>
  <c r="A9"/>
  <c r="B9"/>
  <c r="E9"/>
  <c r="A10"/>
  <c r="B10"/>
  <c r="E10"/>
  <c r="A11"/>
  <c r="B11"/>
  <c r="E11"/>
  <c r="A12"/>
  <c r="B12"/>
  <c r="E12"/>
  <c r="A13"/>
  <c r="B13"/>
  <c r="E13"/>
  <c r="A14"/>
  <c r="B14"/>
  <c r="E14"/>
  <c r="A15"/>
  <c r="B15"/>
  <c r="E15"/>
  <c r="A16"/>
  <c r="B16"/>
  <c r="E16"/>
  <c r="A17"/>
  <c r="B17"/>
  <c r="E17"/>
  <c r="A18"/>
  <c r="B18"/>
  <c r="E18"/>
  <c r="A19"/>
  <c r="B19"/>
  <c r="E19"/>
  <c r="A20"/>
  <c r="B20"/>
  <c r="E20"/>
  <c r="A21"/>
  <c r="B21"/>
  <c r="E21"/>
  <c r="A22"/>
  <c r="B22"/>
  <c r="E22"/>
  <c r="A23"/>
  <c r="B23"/>
  <c r="E23"/>
  <c r="A24"/>
  <c r="B24"/>
  <c r="E24"/>
  <c r="A25"/>
  <c r="B25"/>
  <c r="E25"/>
  <c r="A26"/>
  <c r="B26"/>
  <c r="E26"/>
  <c r="A27"/>
  <c r="B27"/>
  <c r="E27"/>
  <c r="A28"/>
  <c r="B28"/>
  <c r="E28"/>
  <c r="A29"/>
  <c r="B29"/>
  <c r="E29"/>
  <c r="A30"/>
  <c r="B30"/>
  <c r="E30"/>
  <c r="A31"/>
  <c r="B31"/>
  <c r="E31"/>
  <c r="A32"/>
  <c r="B32"/>
  <c r="E32"/>
  <c r="A33"/>
  <c r="B33"/>
  <c r="E33"/>
  <c r="A34"/>
  <c r="B34"/>
  <c r="E34"/>
  <c r="A35"/>
  <c r="B35"/>
  <c r="E35"/>
  <c r="A36"/>
  <c r="B36"/>
  <c r="E36"/>
  <c r="A37"/>
  <c r="B37"/>
  <c r="E37"/>
  <c r="A38"/>
  <c r="B38"/>
  <c r="E38"/>
  <c r="A39"/>
  <c r="B39"/>
  <c r="E39"/>
  <c r="A40"/>
  <c r="B40"/>
  <c r="E40"/>
  <c r="A41"/>
  <c r="B41"/>
  <c r="E41"/>
  <c r="A42"/>
  <c r="B42"/>
  <c r="E42"/>
  <c r="A43"/>
  <c r="B43"/>
  <c r="E43"/>
  <c r="A44"/>
  <c r="B44"/>
  <c r="E44"/>
  <c r="A45"/>
  <c r="B45"/>
  <c r="E45"/>
  <c r="A46"/>
  <c r="B46"/>
  <c r="E46"/>
  <c r="A47"/>
  <c r="B47"/>
  <c r="E47"/>
  <c r="A49"/>
  <c r="B49"/>
  <c r="E49"/>
  <c r="A6" i="45"/>
  <c r="B6"/>
  <c r="D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D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D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9"/>
  <c r="B49"/>
  <c r="C4" i="44"/>
  <c r="A6"/>
  <c r="B6"/>
  <c r="F6"/>
  <c r="A7"/>
  <c r="B7"/>
  <c r="A8"/>
  <c r="B8"/>
  <c r="A9"/>
  <c r="B9"/>
  <c r="F9"/>
  <c r="A10"/>
  <c r="B10"/>
  <c r="A11"/>
  <c r="B11"/>
  <c r="A12"/>
  <c r="B12"/>
  <c r="A13"/>
  <c r="B13"/>
  <c r="F13"/>
  <c r="A14"/>
  <c r="B14"/>
  <c r="A15"/>
  <c r="B15"/>
  <c r="A16"/>
  <c r="B16"/>
  <c r="A17"/>
  <c r="B17"/>
  <c r="F17"/>
  <c r="A18"/>
  <c r="B18"/>
  <c r="A19"/>
  <c r="B19"/>
  <c r="A20"/>
  <c r="B20"/>
  <c r="A21"/>
  <c r="B21"/>
  <c r="F21"/>
  <c r="A22"/>
  <c r="B22"/>
  <c r="A23"/>
  <c r="B23"/>
  <c r="A24"/>
  <c r="B24"/>
  <c r="A25"/>
  <c r="B25"/>
  <c r="F25"/>
  <c r="A26"/>
  <c r="B26"/>
  <c r="A27"/>
  <c r="B27"/>
  <c r="A28"/>
  <c r="B28"/>
  <c r="A29"/>
  <c r="B29"/>
  <c r="F29"/>
  <c r="A30"/>
  <c r="B30"/>
  <c r="A31"/>
  <c r="B31"/>
  <c r="A32"/>
  <c r="B32"/>
  <c r="A33"/>
  <c r="B33"/>
  <c r="F33"/>
  <c r="A34"/>
  <c r="B34"/>
  <c r="A35"/>
  <c r="B35"/>
  <c r="F35"/>
  <c r="A36"/>
  <c r="B36"/>
  <c r="A37"/>
  <c r="B37"/>
  <c r="A38"/>
  <c r="B38"/>
  <c r="A39"/>
  <c r="B39"/>
  <c r="F39"/>
  <c r="A40"/>
  <c r="B40"/>
  <c r="A41"/>
  <c r="B41"/>
  <c r="A42"/>
  <c r="B42"/>
  <c r="A43"/>
  <c r="B43"/>
  <c r="F43"/>
  <c r="A44"/>
  <c r="B44"/>
  <c r="A45"/>
  <c r="B45"/>
  <c r="A46"/>
  <c r="B46"/>
  <c r="A47"/>
  <c r="B47"/>
  <c r="F47"/>
  <c r="A49"/>
  <c r="B49"/>
  <c r="A6" i="4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C31" s="1"/>
  <c r="A13"/>
  <c r="B13"/>
  <c r="C13"/>
  <c r="A14"/>
  <c r="B14"/>
  <c r="C14"/>
  <c r="G14"/>
  <c r="A15"/>
  <c r="B15"/>
  <c r="C15"/>
  <c r="G15" s="1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6" i="29"/>
  <c r="B6"/>
  <c r="C6"/>
  <c r="E6"/>
  <c r="D6"/>
  <c r="A7"/>
  <c r="B7"/>
  <c r="D7"/>
  <c r="A8"/>
  <c r="B8"/>
  <c r="D8"/>
  <c r="A9"/>
  <c r="B9"/>
  <c r="D9"/>
  <c r="A10"/>
  <c r="B10"/>
  <c r="D10"/>
  <c r="A11"/>
  <c r="B11"/>
  <c r="C11"/>
  <c r="E11" s="1"/>
  <c r="D11"/>
  <c r="A12"/>
  <c r="B12"/>
  <c r="D12"/>
  <c r="A13"/>
  <c r="B13"/>
  <c r="D13"/>
  <c r="A14"/>
  <c r="B14"/>
  <c r="D14"/>
  <c r="A15"/>
  <c r="B15"/>
  <c r="D15"/>
  <c r="A16"/>
  <c r="B16"/>
  <c r="C16"/>
  <c r="E16"/>
  <c r="D16"/>
  <c r="A17"/>
  <c r="B17"/>
  <c r="D17"/>
  <c r="A18"/>
  <c r="B18"/>
  <c r="D18"/>
  <c r="A19"/>
  <c r="B19"/>
  <c r="D19"/>
  <c r="A20"/>
  <c r="B20"/>
  <c r="D20"/>
  <c r="A21"/>
  <c r="B21"/>
  <c r="D21"/>
  <c r="A22"/>
  <c r="B22"/>
  <c r="D22"/>
  <c r="A23"/>
  <c r="B23"/>
  <c r="D23"/>
  <c r="A24"/>
  <c r="B24"/>
  <c r="D24"/>
  <c r="A25"/>
  <c r="B25"/>
  <c r="D25"/>
  <c r="A26"/>
  <c r="B26"/>
  <c r="C26"/>
  <c r="E26"/>
  <c r="D26"/>
  <c r="A27"/>
  <c r="B27"/>
  <c r="C27"/>
  <c r="E27" s="1"/>
  <c r="D27"/>
  <c r="A28"/>
  <c r="B28"/>
  <c r="C28"/>
  <c r="E28" s="1"/>
  <c r="I28" s="1"/>
  <c r="D28"/>
  <c r="A29"/>
  <c r="B29"/>
  <c r="D29"/>
  <c r="A30"/>
  <c r="B30"/>
  <c r="D30"/>
  <c r="A31"/>
  <c r="B31"/>
  <c r="D31"/>
  <c r="A32"/>
  <c r="B32"/>
  <c r="D32"/>
  <c r="A33"/>
  <c r="B33"/>
  <c r="C33"/>
  <c r="E33" s="1"/>
  <c r="D33"/>
  <c r="A34"/>
  <c r="B34"/>
  <c r="D34"/>
  <c r="A35"/>
  <c r="B35"/>
  <c r="D35"/>
  <c r="A36"/>
  <c r="B36"/>
  <c r="D36"/>
  <c r="A37"/>
  <c r="B37"/>
  <c r="D37"/>
  <c r="A38"/>
  <c r="B38"/>
  <c r="D38"/>
  <c r="A39"/>
  <c r="B39"/>
  <c r="D39"/>
  <c r="A40"/>
  <c r="B40"/>
  <c r="D40"/>
  <c r="A41"/>
  <c r="B41"/>
  <c r="C41"/>
  <c r="E41" s="1"/>
  <c r="H41" s="1"/>
  <c r="D41"/>
  <c r="A42"/>
  <c r="B42"/>
  <c r="D42"/>
  <c r="A43"/>
  <c r="B43"/>
  <c r="E43"/>
  <c r="I43"/>
  <c r="D43"/>
  <c r="A44"/>
  <c r="B44"/>
  <c r="D44"/>
  <c r="A45"/>
  <c r="B45"/>
  <c r="C45"/>
  <c r="E45"/>
  <c r="D45"/>
  <c r="A46"/>
  <c r="B46"/>
  <c r="D46"/>
  <c r="C4" i="33"/>
  <c r="A6"/>
  <c r="B6"/>
  <c r="A7"/>
  <c r="B7"/>
  <c r="A8"/>
  <c r="B8"/>
  <c r="A9"/>
  <c r="B9"/>
  <c r="C9"/>
  <c r="A10"/>
  <c r="B10"/>
  <c r="A11"/>
  <c r="B11"/>
  <c r="A12"/>
  <c r="B12"/>
  <c r="A13"/>
  <c r="B13"/>
  <c r="C13"/>
  <c r="A14"/>
  <c r="B14"/>
  <c r="A15"/>
  <c r="B15"/>
  <c r="A16"/>
  <c r="B16"/>
  <c r="A17"/>
  <c r="B17"/>
  <c r="C17"/>
  <c r="A18"/>
  <c r="B18"/>
  <c r="A19"/>
  <c r="B19"/>
  <c r="A20"/>
  <c r="B20"/>
  <c r="A21"/>
  <c r="B21"/>
  <c r="C21"/>
  <c r="A22"/>
  <c r="B22"/>
  <c r="A23"/>
  <c r="B23"/>
  <c r="A24"/>
  <c r="B24"/>
  <c r="A25"/>
  <c r="B25"/>
  <c r="C25"/>
  <c r="A26"/>
  <c r="B26"/>
  <c r="A27"/>
  <c r="B27"/>
  <c r="A28"/>
  <c r="B28"/>
  <c r="A29"/>
  <c r="B29"/>
  <c r="C29"/>
  <c r="A30"/>
  <c r="B30"/>
  <c r="A31"/>
  <c r="B31"/>
  <c r="A32"/>
  <c r="B32"/>
  <c r="A33"/>
  <c r="B33"/>
  <c r="C33"/>
  <c r="A34"/>
  <c r="B34"/>
  <c r="A35"/>
  <c r="B35"/>
  <c r="A36"/>
  <c r="B36"/>
  <c r="A37"/>
  <c r="B37"/>
  <c r="C37"/>
  <c r="A38"/>
  <c r="B38"/>
  <c r="A39"/>
  <c r="B39"/>
  <c r="A40"/>
  <c r="B40"/>
  <c r="A41"/>
  <c r="B41"/>
  <c r="C41"/>
  <c r="A42"/>
  <c r="B42"/>
  <c r="A43"/>
  <c r="B43"/>
  <c r="A44"/>
  <c r="B44"/>
  <c r="A45"/>
  <c r="B45"/>
  <c r="C45"/>
  <c r="A46"/>
  <c r="B46"/>
  <c r="A47"/>
  <c r="B47"/>
  <c r="A49"/>
  <c r="B49"/>
  <c r="A50"/>
  <c r="C6" i="32"/>
  <c r="P6"/>
  <c r="A8"/>
  <c r="B8"/>
  <c r="D8"/>
  <c r="D52" s="1"/>
  <c r="E8"/>
  <c r="F8"/>
  <c r="G8"/>
  <c r="H8"/>
  <c r="I8"/>
  <c r="I52" s="1"/>
  <c r="Q8"/>
  <c r="R8"/>
  <c r="R52" s="1"/>
  <c r="S8"/>
  <c r="T8"/>
  <c r="U8"/>
  <c r="V8"/>
  <c r="A9"/>
  <c r="B9"/>
  <c r="D9"/>
  <c r="E9"/>
  <c r="E52" s="1"/>
  <c r="F9"/>
  <c r="G9"/>
  <c r="G52" s="1"/>
  <c r="H9"/>
  <c r="I9"/>
  <c r="Q9"/>
  <c r="R9"/>
  <c r="S9"/>
  <c r="S52" s="1"/>
  <c r="T9"/>
  <c r="U9"/>
  <c r="V9"/>
  <c r="A10"/>
  <c r="B10"/>
  <c r="D10"/>
  <c r="E10"/>
  <c r="F10"/>
  <c r="F52" s="1"/>
  <c r="G10"/>
  <c r="H10"/>
  <c r="I10"/>
  <c r="Q10"/>
  <c r="R10"/>
  <c r="S10"/>
  <c r="T10"/>
  <c r="U10"/>
  <c r="U52" s="1"/>
  <c r="V10"/>
  <c r="V52" s="1"/>
  <c r="A11"/>
  <c r="B11"/>
  <c r="D11"/>
  <c r="E11"/>
  <c r="F11"/>
  <c r="G11"/>
  <c r="H11"/>
  <c r="H52" s="1"/>
  <c r="I11"/>
  <c r="Q11"/>
  <c r="R11"/>
  <c r="S11"/>
  <c r="T11"/>
  <c r="U11"/>
  <c r="V11"/>
  <c r="AA11" s="1"/>
  <c r="A12"/>
  <c r="B12"/>
  <c r="D12"/>
  <c r="E12"/>
  <c r="F12"/>
  <c r="G12"/>
  <c r="H12"/>
  <c r="I12"/>
  <c r="Q12"/>
  <c r="R12"/>
  <c r="S12"/>
  <c r="T12"/>
  <c r="U12"/>
  <c r="V12"/>
  <c r="A13"/>
  <c r="B13"/>
  <c r="D13"/>
  <c r="E13"/>
  <c r="F13"/>
  <c r="G13"/>
  <c r="H13"/>
  <c r="I13"/>
  <c r="Q13"/>
  <c r="R13"/>
  <c r="S13"/>
  <c r="T13"/>
  <c r="U13"/>
  <c r="V13"/>
  <c r="A14"/>
  <c r="B14"/>
  <c r="D14"/>
  <c r="E14"/>
  <c r="F14"/>
  <c r="G14"/>
  <c r="H14"/>
  <c r="I14"/>
  <c r="Q14"/>
  <c r="R14"/>
  <c r="S14"/>
  <c r="T14"/>
  <c r="T52" s="1"/>
  <c r="U14"/>
  <c r="V14"/>
  <c r="A15"/>
  <c r="B15"/>
  <c r="D15"/>
  <c r="E15"/>
  <c r="F15"/>
  <c r="G15"/>
  <c r="H15"/>
  <c r="I15"/>
  <c r="Q15"/>
  <c r="R15"/>
  <c r="S15"/>
  <c r="T15"/>
  <c r="U15"/>
  <c r="V15"/>
  <c r="A16"/>
  <c r="B16"/>
  <c r="D16"/>
  <c r="E16"/>
  <c r="F16"/>
  <c r="G16"/>
  <c r="H16"/>
  <c r="I16"/>
  <c r="L16" s="1"/>
  <c r="Q16"/>
  <c r="R16"/>
  <c r="S16"/>
  <c r="T16"/>
  <c r="U16"/>
  <c r="V16"/>
  <c r="A17"/>
  <c r="B17"/>
  <c r="D17"/>
  <c r="E17"/>
  <c r="F17"/>
  <c r="G17"/>
  <c r="H17"/>
  <c r="I17"/>
  <c r="Q17"/>
  <c r="R17"/>
  <c r="S17"/>
  <c r="T17"/>
  <c r="U17"/>
  <c r="V17"/>
  <c r="A18"/>
  <c r="B18"/>
  <c r="D18"/>
  <c r="E18"/>
  <c r="F18"/>
  <c r="G18"/>
  <c r="H18"/>
  <c r="I18"/>
  <c r="Q18"/>
  <c r="R18"/>
  <c r="S18"/>
  <c r="T18"/>
  <c r="Y18" s="1"/>
  <c r="U18"/>
  <c r="V18"/>
  <c r="A19"/>
  <c r="B19"/>
  <c r="D19"/>
  <c r="E19"/>
  <c r="F19"/>
  <c r="G19"/>
  <c r="H19"/>
  <c r="I19"/>
  <c r="Q19"/>
  <c r="R19"/>
  <c r="S19"/>
  <c r="T19"/>
  <c r="U19"/>
  <c r="V19"/>
  <c r="A20"/>
  <c r="B20"/>
  <c r="D20"/>
  <c r="E20"/>
  <c r="F20"/>
  <c r="G20"/>
  <c r="H20"/>
  <c r="L20" s="1"/>
  <c r="I20"/>
  <c r="Q20"/>
  <c r="R20"/>
  <c r="S20"/>
  <c r="T20"/>
  <c r="U20"/>
  <c r="V20"/>
  <c r="A21"/>
  <c r="B21"/>
  <c r="D21"/>
  <c r="E21"/>
  <c r="F21"/>
  <c r="G21"/>
  <c r="H21"/>
  <c r="I21"/>
  <c r="Q21"/>
  <c r="Q52" s="1"/>
  <c r="R21"/>
  <c r="S21"/>
  <c r="T21"/>
  <c r="U21"/>
  <c r="V21"/>
  <c r="A22"/>
  <c r="B22"/>
  <c r="D22"/>
  <c r="E22"/>
  <c r="F22"/>
  <c r="G22"/>
  <c r="H22"/>
  <c r="I22"/>
  <c r="Q22"/>
  <c r="R22"/>
  <c r="S22"/>
  <c r="T22"/>
  <c r="U22"/>
  <c r="V22"/>
  <c r="A23"/>
  <c r="B23"/>
  <c r="D23"/>
  <c r="E23"/>
  <c r="F23"/>
  <c r="G23"/>
  <c r="H23"/>
  <c r="I23"/>
  <c r="Q23"/>
  <c r="R23"/>
  <c r="S23"/>
  <c r="T23"/>
  <c r="U23"/>
  <c r="V23"/>
  <c r="A24"/>
  <c r="B24"/>
  <c r="D24"/>
  <c r="E24"/>
  <c r="F24"/>
  <c r="G24"/>
  <c r="H24"/>
  <c r="I24"/>
  <c r="Q24"/>
  <c r="R24"/>
  <c r="S24"/>
  <c r="T24"/>
  <c r="U24"/>
  <c r="V24"/>
  <c r="A25"/>
  <c r="B25"/>
  <c r="D25"/>
  <c r="E25"/>
  <c r="F25"/>
  <c r="G25"/>
  <c r="H25"/>
  <c r="I25"/>
  <c r="Q25"/>
  <c r="R25"/>
  <c r="S25"/>
  <c r="T25"/>
  <c r="U25"/>
  <c r="V25"/>
  <c r="A26"/>
  <c r="B26"/>
  <c r="D26"/>
  <c r="E26"/>
  <c r="F26"/>
  <c r="G26"/>
  <c r="H26"/>
  <c r="I26"/>
  <c r="Q26"/>
  <c r="R26"/>
  <c r="S26"/>
  <c r="T26"/>
  <c r="U26"/>
  <c r="V26"/>
  <c r="A27"/>
  <c r="B27"/>
  <c r="D27"/>
  <c r="E27"/>
  <c r="F27"/>
  <c r="G27"/>
  <c r="H27"/>
  <c r="I27"/>
  <c r="Q27"/>
  <c r="R27"/>
  <c r="S27"/>
  <c r="T27"/>
  <c r="U27"/>
  <c r="V27"/>
  <c r="A28"/>
  <c r="B28"/>
  <c r="D28"/>
  <c r="E28"/>
  <c r="F28"/>
  <c r="G28"/>
  <c r="H28"/>
  <c r="I28"/>
  <c r="Q28"/>
  <c r="R28"/>
  <c r="S28"/>
  <c r="T28"/>
  <c r="U28"/>
  <c r="V28"/>
  <c r="A29"/>
  <c r="B29"/>
  <c r="D29"/>
  <c r="E29"/>
  <c r="F29"/>
  <c r="G29"/>
  <c r="H29"/>
  <c r="I29"/>
  <c r="Q29"/>
  <c r="R29"/>
  <c r="S29"/>
  <c r="T29"/>
  <c r="U29"/>
  <c r="V29"/>
  <c r="A30"/>
  <c r="B30"/>
  <c r="D30"/>
  <c r="E30"/>
  <c r="F30"/>
  <c r="G30"/>
  <c r="H30"/>
  <c r="I30"/>
  <c r="Q30"/>
  <c r="R30"/>
  <c r="S30"/>
  <c r="T30"/>
  <c r="U30"/>
  <c r="V30"/>
  <c r="A31"/>
  <c r="B31"/>
  <c r="D31"/>
  <c r="E31"/>
  <c r="F31"/>
  <c r="G31"/>
  <c r="H31"/>
  <c r="I31"/>
  <c r="Q31"/>
  <c r="R31"/>
  <c r="S31"/>
  <c r="T31"/>
  <c r="U31"/>
  <c r="V31"/>
  <c r="A32"/>
  <c r="B32"/>
  <c r="D32"/>
  <c r="E32"/>
  <c r="F32"/>
  <c r="G32"/>
  <c r="H32"/>
  <c r="I32"/>
  <c r="Q32"/>
  <c r="R32"/>
  <c r="S32"/>
  <c r="T32"/>
  <c r="U32"/>
  <c r="V32"/>
  <c r="A33"/>
  <c r="B33"/>
  <c r="D33"/>
  <c r="E33"/>
  <c r="F33"/>
  <c r="G33"/>
  <c r="H33"/>
  <c r="I33"/>
  <c r="Q33"/>
  <c r="R33"/>
  <c r="S33"/>
  <c r="T33"/>
  <c r="U33"/>
  <c r="V33"/>
  <c r="A34"/>
  <c r="B34"/>
  <c r="D34"/>
  <c r="E34"/>
  <c r="F34"/>
  <c r="G34"/>
  <c r="H34"/>
  <c r="I34"/>
  <c r="Q34"/>
  <c r="R34"/>
  <c r="S34"/>
  <c r="T34"/>
  <c r="U34"/>
  <c r="V34"/>
  <c r="A35"/>
  <c r="B35"/>
  <c r="D35"/>
  <c r="E35"/>
  <c r="F35"/>
  <c r="G35"/>
  <c r="H35"/>
  <c r="I35"/>
  <c r="Q35"/>
  <c r="R35"/>
  <c r="S35"/>
  <c r="T35"/>
  <c r="U35"/>
  <c r="V35"/>
  <c r="A36"/>
  <c r="B36"/>
  <c r="D36"/>
  <c r="E36"/>
  <c r="F36"/>
  <c r="G36"/>
  <c r="N36" s="1"/>
  <c r="H36"/>
  <c r="I36"/>
  <c r="Q36"/>
  <c r="R36"/>
  <c r="S36"/>
  <c r="T36"/>
  <c r="U36"/>
  <c r="V36"/>
  <c r="A37"/>
  <c r="B37"/>
  <c r="D37"/>
  <c r="E37"/>
  <c r="F37"/>
  <c r="G37"/>
  <c r="H37"/>
  <c r="I37"/>
  <c r="Q37"/>
  <c r="R37"/>
  <c r="S37"/>
  <c r="T37"/>
  <c r="U37"/>
  <c r="V37"/>
  <c r="A38"/>
  <c r="B38"/>
  <c r="D38"/>
  <c r="E38"/>
  <c r="F38"/>
  <c r="G38"/>
  <c r="H38"/>
  <c r="I38"/>
  <c r="Q38"/>
  <c r="R38"/>
  <c r="S38"/>
  <c r="T38"/>
  <c r="U38"/>
  <c r="V38"/>
  <c r="A39"/>
  <c r="B39"/>
  <c r="D39"/>
  <c r="E39"/>
  <c r="F39"/>
  <c r="G39"/>
  <c r="H39"/>
  <c r="I39"/>
  <c r="Q39"/>
  <c r="R39"/>
  <c r="S39"/>
  <c r="T39"/>
  <c r="U39"/>
  <c r="V39"/>
  <c r="A40"/>
  <c r="B40"/>
  <c r="D40"/>
  <c r="E40"/>
  <c r="F40"/>
  <c r="G40"/>
  <c r="H40"/>
  <c r="I40"/>
  <c r="Q40"/>
  <c r="R40"/>
  <c r="S40"/>
  <c r="T40"/>
  <c r="U40"/>
  <c r="V40"/>
  <c r="A41"/>
  <c r="B41"/>
  <c r="D41"/>
  <c r="E41"/>
  <c r="F41"/>
  <c r="G41"/>
  <c r="H41"/>
  <c r="I41"/>
  <c r="L41" s="1"/>
  <c r="Q41"/>
  <c r="R41"/>
  <c r="S41"/>
  <c r="T41"/>
  <c r="U41"/>
  <c r="V41"/>
  <c r="A42"/>
  <c r="B42"/>
  <c r="D42"/>
  <c r="E42"/>
  <c r="F42"/>
  <c r="G42"/>
  <c r="H42"/>
  <c r="I42"/>
  <c r="Q42"/>
  <c r="R42"/>
  <c r="S42"/>
  <c r="T42"/>
  <c r="U42"/>
  <c r="V42"/>
  <c r="A43"/>
  <c r="B43"/>
  <c r="D43"/>
  <c r="E43"/>
  <c r="F43"/>
  <c r="G43"/>
  <c r="H43"/>
  <c r="I43"/>
  <c r="Q43"/>
  <c r="R43"/>
  <c r="S43"/>
  <c r="T43"/>
  <c r="U43"/>
  <c r="V43"/>
  <c r="A44"/>
  <c r="B44"/>
  <c r="D44"/>
  <c r="E44"/>
  <c r="F44"/>
  <c r="G44"/>
  <c r="H44"/>
  <c r="I44"/>
  <c r="Q44"/>
  <c r="R44"/>
  <c r="S44"/>
  <c r="T44"/>
  <c r="U44"/>
  <c r="V44"/>
  <c r="Y44" s="1"/>
  <c r="A45"/>
  <c r="B45"/>
  <c r="D45"/>
  <c r="E45"/>
  <c r="F45"/>
  <c r="G45"/>
  <c r="H45"/>
  <c r="I45"/>
  <c r="Q45"/>
  <c r="R45"/>
  <c r="S45"/>
  <c r="T45"/>
  <c r="U45"/>
  <c r="V45"/>
  <c r="A46"/>
  <c r="B46"/>
  <c r="D46"/>
  <c r="E46"/>
  <c r="F46"/>
  <c r="G46"/>
  <c r="H46"/>
  <c r="I46"/>
  <c r="Q46"/>
  <c r="R46"/>
  <c r="S46"/>
  <c r="T46"/>
  <c r="U46"/>
  <c r="V46"/>
  <c r="A47"/>
  <c r="B47"/>
  <c r="D47"/>
  <c r="E47"/>
  <c r="F47"/>
  <c r="G47"/>
  <c r="H47"/>
  <c r="I47"/>
  <c r="Q47"/>
  <c r="R47"/>
  <c r="S47"/>
  <c r="T47"/>
  <c r="U47"/>
  <c r="V47"/>
  <c r="A48"/>
  <c r="B48"/>
  <c r="D48"/>
  <c r="E48"/>
  <c r="F48"/>
  <c r="G48"/>
  <c r="L48" s="1"/>
  <c r="H48"/>
  <c r="I48"/>
  <c r="Q48"/>
  <c r="R48"/>
  <c r="S48"/>
  <c r="T48"/>
  <c r="U48"/>
  <c r="V48"/>
  <c r="A49"/>
  <c r="B49"/>
  <c r="D49"/>
  <c r="E49"/>
  <c r="F49"/>
  <c r="G49"/>
  <c r="H49"/>
  <c r="I49"/>
  <c r="Q49"/>
  <c r="R49"/>
  <c r="S49"/>
  <c r="T49"/>
  <c r="U49"/>
  <c r="V49"/>
  <c r="A51"/>
  <c r="B51"/>
  <c r="D51"/>
  <c r="E51"/>
  <c r="F51"/>
  <c r="G51"/>
  <c r="H51"/>
  <c r="I51"/>
  <c r="Q51"/>
  <c r="R51"/>
  <c r="S51"/>
  <c r="T51"/>
  <c r="U51"/>
  <c r="V51"/>
  <c r="A52"/>
  <c r="A3" i="30"/>
  <c r="C5"/>
  <c r="H5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50"/>
  <c r="B50"/>
  <c r="A51"/>
  <c r="A3" i="31"/>
  <c r="C4"/>
  <c r="H4"/>
  <c r="I4"/>
  <c r="A6"/>
  <c r="B6"/>
  <c r="A7"/>
  <c r="B7"/>
  <c r="A8"/>
  <c r="B8"/>
  <c r="A9"/>
  <c r="B9"/>
  <c r="C9"/>
  <c r="A10"/>
  <c r="B10"/>
  <c r="A11"/>
  <c r="B11"/>
  <c r="A12"/>
  <c r="B12"/>
  <c r="A13"/>
  <c r="B13"/>
  <c r="A14"/>
  <c r="B14"/>
  <c r="A15"/>
  <c r="B15"/>
  <c r="A16"/>
  <c r="B16"/>
  <c r="C16"/>
  <c r="A17"/>
  <c r="B17"/>
  <c r="A18"/>
  <c r="B18"/>
  <c r="A19"/>
  <c r="B19"/>
  <c r="A20"/>
  <c r="B20"/>
  <c r="C20"/>
  <c r="A21"/>
  <c r="B21"/>
  <c r="A22"/>
  <c r="B22"/>
  <c r="A23"/>
  <c r="B23"/>
  <c r="A24"/>
  <c r="B24"/>
  <c r="C24"/>
  <c r="A25"/>
  <c r="B25"/>
  <c r="A26"/>
  <c r="B26"/>
  <c r="A27"/>
  <c r="B27"/>
  <c r="A28"/>
  <c r="B28"/>
  <c r="C28"/>
  <c r="A29"/>
  <c r="B29"/>
  <c r="A30"/>
  <c r="B30"/>
  <c r="A31"/>
  <c r="B31"/>
  <c r="A32"/>
  <c r="B32"/>
  <c r="C32"/>
  <c r="A33"/>
  <c r="B33"/>
  <c r="A34"/>
  <c r="B34"/>
  <c r="A35"/>
  <c r="B35"/>
  <c r="A36"/>
  <c r="B36"/>
  <c r="C36"/>
  <c r="A37"/>
  <c r="B37"/>
  <c r="A38"/>
  <c r="B38"/>
  <c r="A39"/>
  <c r="B39"/>
  <c r="A40"/>
  <c r="B40"/>
  <c r="C40"/>
  <c r="A41"/>
  <c r="B41"/>
  <c r="A42"/>
  <c r="B42"/>
  <c r="A43"/>
  <c r="B43"/>
  <c r="A44"/>
  <c r="B44"/>
  <c r="C44"/>
  <c r="A45"/>
  <c r="B45"/>
  <c r="A46"/>
  <c r="B46"/>
  <c r="A47"/>
  <c r="B47"/>
  <c r="A49"/>
  <c r="B49"/>
  <c r="C49"/>
  <c r="A50"/>
  <c r="C5" i="58"/>
  <c r="F5"/>
  <c r="J5"/>
  <c r="L5"/>
  <c r="N5"/>
  <c r="O5"/>
  <c r="T5"/>
  <c r="A6"/>
  <c r="B6"/>
  <c r="E6"/>
  <c r="J6" s="1"/>
  <c r="A7"/>
  <c r="B7"/>
  <c r="A8"/>
  <c r="B8"/>
  <c r="A9"/>
  <c r="B9"/>
  <c r="E9"/>
  <c r="I9" s="1"/>
  <c r="A10"/>
  <c r="B10"/>
  <c r="A11"/>
  <c r="B11"/>
  <c r="A12"/>
  <c r="B12"/>
  <c r="E12"/>
  <c r="I12" s="1"/>
  <c r="A13"/>
  <c r="B13"/>
  <c r="A14"/>
  <c r="B14"/>
  <c r="E14"/>
  <c r="I14" s="1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E23"/>
  <c r="I23" s="1"/>
  <c r="A24"/>
  <c r="B24"/>
  <c r="A25"/>
  <c r="B25"/>
  <c r="A26"/>
  <c r="B26"/>
  <c r="A27"/>
  <c r="B27"/>
  <c r="E27"/>
  <c r="I27" s="1"/>
  <c r="T27"/>
  <c r="A28"/>
  <c r="B28"/>
  <c r="A29"/>
  <c r="B29"/>
  <c r="A30"/>
  <c r="B30"/>
  <c r="E30"/>
  <c r="K30"/>
  <c r="A31"/>
  <c r="B31"/>
  <c r="E31"/>
  <c r="P31" s="1"/>
  <c r="A32"/>
  <c r="B32"/>
  <c r="A33"/>
  <c r="B33"/>
  <c r="A34"/>
  <c r="B34"/>
  <c r="A35"/>
  <c r="B35"/>
  <c r="E35"/>
  <c r="I35" s="1"/>
  <c r="A36"/>
  <c r="B36"/>
  <c r="E36"/>
  <c r="O36" s="1"/>
  <c r="A37"/>
  <c r="B37"/>
  <c r="A38"/>
  <c r="B38"/>
  <c r="A39"/>
  <c r="B39"/>
  <c r="E39"/>
  <c r="A40"/>
  <c r="B40"/>
  <c r="A41"/>
  <c r="B41"/>
  <c r="A42"/>
  <c r="B42"/>
  <c r="A43"/>
  <c r="B43"/>
  <c r="E43"/>
  <c r="L43" s="1"/>
  <c r="A44"/>
  <c r="B44"/>
  <c r="A45"/>
  <c r="B45"/>
  <c r="A46"/>
  <c r="B46"/>
  <c r="A47"/>
  <c r="B47"/>
  <c r="A49"/>
  <c r="B49"/>
  <c r="A1" i="23"/>
  <c r="A6" i="14"/>
  <c r="B6"/>
  <c r="A7"/>
  <c r="B7"/>
  <c r="W7"/>
  <c r="A8"/>
  <c r="B8"/>
  <c r="A9"/>
  <c r="B9"/>
  <c r="W9"/>
  <c r="A10"/>
  <c r="B10"/>
  <c r="A11"/>
  <c r="B11"/>
  <c r="A12"/>
  <c r="B12"/>
  <c r="A13"/>
  <c r="B13"/>
  <c r="A14"/>
  <c r="B14"/>
  <c r="A15"/>
  <c r="B15"/>
  <c r="W15"/>
  <c r="C15" i="45"/>
  <c r="E15" s="1"/>
  <c r="A16" i="14"/>
  <c r="B16"/>
  <c r="A17"/>
  <c r="B17"/>
  <c r="A18"/>
  <c r="B18"/>
  <c r="A19"/>
  <c r="B19"/>
  <c r="A20"/>
  <c r="B20"/>
  <c r="W20"/>
  <c r="C20" i="64"/>
  <c r="E20" s="1"/>
  <c r="A21" i="14"/>
  <c r="B21"/>
  <c r="W21"/>
  <c r="A22"/>
  <c r="B22"/>
  <c r="W22"/>
  <c r="A23"/>
  <c r="B23"/>
  <c r="A24"/>
  <c r="B24"/>
  <c r="A25"/>
  <c r="B25"/>
  <c r="W25"/>
  <c r="A26"/>
  <c r="B26"/>
  <c r="A27"/>
  <c r="B27"/>
  <c r="A28"/>
  <c r="B28"/>
  <c r="A29"/>
  <c r="B29"/>
  <c r="A30"/>
  <c r="B30"/>
  <c r="A31"/>
  <c r="B31"/>
  <c r="W31"/>
  <c r="C31" i="45"/>
  <c r="A32" i="14"/>
  <c r="B32"/>
  <c r="W32"/>
  <c r="A33"/>
  <c r="B33"/>
  <c r="W33"/>
  <c r="A34"/>
  <c r="B34"/>
  <c r="A35"/>
  <c r="B35"/>
  <c r="A36"/>
  <c r="B36"/>
  <c r="W36"/>
  <c r="A37"/>
  <c r="B37"/>
  <c r="W37"/>
  <c r="C37" i="64"/>
  <c r="A38" i="14"/>
  <c r="B38"/>
  <c r="W38"/>
  <c r="C38" i="64"/>
  <c r="A39" i="14"/>
  <c r="B39"/>
  <c r="C39" i="45"/>
  <c r="A40" i="14"/>
  <c r="B40"/>
  <c r="A41"/>
  <c r="B41"/>
  <c r="W41"/>
  <c r="C41" i="64"/>
  <c r="A42" i="14"/>
  <c r="B42"/>
  <c r="W42"/>
  <c r="C42" i="64"/>
  <c r="A43" i="14"/>
  <c r="B43"/>
  <c r="A44"/>
  <c r="B44"/>
  <c r="A45"/>
  <c r="B45"/>
  <c r="W45"/>
  <c r="C45" i="64"/>
  <c r="A46" i="14"/>
  <c r="B46"/>
  <c r="W46"/>
  <c r="C46" i="64"/>
  <c r="A47" i="14"/>
  <c r="B47"/>
  <c r="W47"/>
  <c r="C47" i="45"/>
  <c r="A49" i="14"/>
  <c r="B49"/>
  <c r="W49"/>
  <c r="C49" i="45"/>
  <c r="C50" i="14"/>
  <c r="A1" i="1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9"/>
  <c r="B49"/>
  <c r="D50"/>
  <c r="G50"/>
  <c r="H50"/>
  <c r="A1" i="43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1"/>
  <c r="B51"/>
  <c r="C52"/>
  <c r="E52"/>
  <c r="C20" i="68"/>
  <c r="D20"/>
  <c r="F190" i="47"/>
  <c r="I52" i="43"/>
  <c r="K52"/>
  <c r="M52"/>
  <c r="O52"/>
  <c r="Q52"/>
  <c r="S52"/>
  <c r="C1" i="18"/>
  <c r="AA1"/>
  <c r="A6"/>
  <c r="B6"/>
  <c r="M8" i="32"/>
  <c r="AV6" i="18"/>
  <c r="Z8" i="32"/>
  <c r="A7" i="18"/>
  <c r="B7"/>
  <c r="AV7"/>
  <c r="Z9" i="32"/>
  <c r="A8" i="18"/>
  <c r="B8"/>
  <c r="AU8"/>
  <c r="AV8"/>
  <c r="Z10" i="32"/>
  <c r="A9" i="18"/>
  <c r="B9"/>
  <c r="AU9"/>
  <c r="M11" i="32"/>
  <c r="AV9" i="18"/>
  <c r="Z11" i="32"/>
  <c r="A10" i="18"/>
  <c r="B10"/>
  <c r="AU10"/>
  <c r="M12" i="32"/>
  <c r="AV10" i="18"/>
  <c r="Z12" i="32"/>
  <c r="A11" i="18"/>
  <c r="B11"/>
  <c r="AU11"/>
  <c r="M13" i="32"/>
  <c r="AV11" i="18"/>
  <c r="Z13" i="32"/>
  <c r="A12" i="18"/>
  <c r="B12"/>
  <c r="AU12"/>
  <c r="M14" i="32"/>
  <c r="AV12" i="18"/>
  <c r="Z14" i="32"/>
  <c r="A13" i="18"/>
  <c r="B13"/>
  <c r="AU13"/>
  <c r="M15" i="32"/>
  <c r="AV13" i="18"/>
  <c r="Z15" i="32"/>
  <c r="A14" i="18"/>
  <c r="B14"/>
  <c r="AU14"/>
  <c r="M16" i="32"/>
  <c r="AV14" i="18"/>
  <c r="Z16" i="32"/>
  <c r="A15" i="18"/>
  <c r="B15"/>
  <c r="AU15"/>
  <c r="M17" i="32"/>
  <c r="AV15" i="18"/>
  <c r="Z17" i="32"/>
  <c r="A16" i="18"/>
  <c r="B16"/>
  <c r="AU16"/>
  <c r="M18" i="32"/>
  <c r="AV16" i="18"/>
  <c r="Z18" i="32"/>
  <c r="A17" i="18"/>
  <c r="B17"/>
  <c r="AU17"/>
  <c r="M19" i="32"/>
  <c r="AV17" i="18"/>
  <c r="Z19" i="32"/>
  <c r="A18" i="18"/>
  <c r="B18"/>
  <c r="AU18"/>
  <c r="AV18"/>
  <c r="Z20" i="32"/>
  <c r="A19" i="18"/>
  <c r="B19"/>
  <c r="AU19"/>
  <c r="AV19"/>
  <c r="Z21" i="32"/>
  <c r="A20" i="18"/>
  <c r="B20"/>
  <c r="AU20"/>
  <c r="AV20"/>
  <c r="Z22" i="32"/>
  <c r="A21" i="18"/>
  <c r="B21"/>
  <c r="AU21"/>
  <c r="M23" i="32"/>
  <c r="AV21" i="18"/>
  <c r="Z23" i="32"/>
  <c r="A22" i="18"/>
  <c r="B22"/>
  <c r="AU22"/>
  <c r="AV22"/>
  <c r="Z24" i="32"/>
  <c r="A23" i="18"/>
  <c r="B23"/>
  <c r="AU23"/>
  <c r="AV23"/>
  <c r="Z25" i="32"/>
  <c r="A24" i="18"/>
  <c r="B24"/>
  <c r="AU24"/>
  <c r="M26" i="32"/>
  <c r="AV24" i="18"/>
  <c r="Z26" i="32"/>
  <c r="A25" i="18"/>
  <c r="B25"/>
  <c r="AU25"/>
  <c r="M27" i="32"/>
  <c r="AV25" i="18"/>
  <c r="Z27" i="32"/>
  <c r="A26" i="18"/>
  <c r="B26"/>
  <c r="AU26"/>
  <c r="AV26"/>
  <c r="Z28" i="32"/>
  <c r="A27" i="18"/>
  <c r="B27"/>
  <c r="AU27"/>
  <c r="AV27"/>
  <c r="Z29" i="32"/>
  <c r="A28" i="18"/>
  <c r="B28"/>
  <c r="AU28"/>
  <c r="AV28"/>
  <c r="Z30" i="32"/>
  <c r="A29" i="18"/>
  <c r="B29"/>
  <c r="AU29"/>
  <c r="M31" i="32"/>
  <c r="AV29" i="18"/>
  <c r="Z31" i="32"/>
  <c r="A30" i="18"/>
  <c r="B30"/>
  <c r="AU30"/>
  <c r="M32" i="32"/>
  <c r="AV30" i="18"/>
  <c r="Z32" i="32"/>
  <c r="A31" i="18"/>
  <c r="B31"/>
  <c r="AU31"/>
  <c r="AV31"/>
  <c r="Z33" i="32"/>
  <c r="A32" i="18"/>
  <c r="B32"/>
  <c r="AU32"/>
  <c r="AV32"/>
  <c r="Z34" i="32"/>
  <c r="A33" i="18"/>
  <c r="B33"/>
  <c r="AU33"/>
  <c r="M35" i="32"/>
  <c r="AV33" i="18"/>
  <c r="Z35" i="32"/>
  <c r="A34" i="18"/>
  <c r="B34"/>
  <c r="AU34"/>
  <c r="AV34"/>
  <c r="Z36" i="32"/>
  <c r="A35" i="18"/>
  <c r="B35"/>
  <c r="AU35"/>
  <c r="M37" i="32"/>
  <c r="AV35" i="18"/>
  <c r="Z37" i="32"/>
  <c r="A36" i="18"/>
  <c r="B36"/>
  <c r="AU36"/>
  <c r="M38" i="32"/>
  <c r="AV36" i="18"/>
  <c r="A37"/>
  <c r="B37"/>
  <c r="AU37"/>
  <c r="AV37"/>
  <c r="Z39" i="32"/>
  <c r="A38" i="18"/>
  <c r="B38"/>
  <c r="AU38"/>
  <c r="AV38"/>
  <c r="Z40" i="32"/>
  <c r="A39" i="18"/>
  <c r="B39"/>
  <c r="AU39"/>
  <c r="AV39"/>
  <c r="Z41" i="32"/>
  <c r="A40" i="18"/>
  <c r="B40"/>
  <c r="AU40"/>
  <c r="M42" i="32"/>
  <c r="AV40" i="18"/>
  <c r="Z42" i="32"/>
  <c r="A41" i="18"/>
  <c r="B41"/>
  <c r="AU41"/>
  <c r="AV41"/>
  <c r="Z43" i="32"/>
  <c r="A42" i="18"/>
  <c r="B42"/>
  <c r="AU42"/>
  <c r="AV42"/>
  <c r="Z44" i="32"/>
  <c r="A43" i="18"/>
  <c r="B43"/>
  <c r="AU43"/>
  <c r="AV43"/>
  <c r="Z45" i="32"/>
  <c r="A44" i="18"/>
  <c r="B44"/>
  <c r="AU44"/>
  <c r="M46" i="32"/>
  <c r="AV44" i="18"/>
  <c r="Z46" i="32"/>
  <c r="A45" i="18"/>
  <c r="B45"/>
  <c r="AU45"/>
  <c r="AV45"/>
  <c r="Z47" i="32"/>
  <c r="A46" i="18"/>
  <c r="B46"/>
  <c r="AU46"/>
  <c r="AV46"/>
  <c r="Z48" i="32"/>
  <c r="A47" i="18"/>
  <c r="B47"/>
  <c r="AU47"/>
  <c r="AV47"/>
  <c r="Z49" i="32"/>
  <c r="A49" i="18"/>
  <c r="B49"/>
  <c r="AU49"/>
  <c r="M51" i="32"/>
  <c r="AV49" i="18"/>
  <c r="Z51" i="32"/>
  <c r="C50" i="18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1" i="4"/>
  <c r="A6"/>
  <c r="B6"/>
  <c r="O6"/>
  <c r="F7" i="30"/>
  <c r="P6" i="4"/>
  <c r="K7" i="30"/>
  <c r="A7" i="4"/>
  <c r="B7"/>
  <c r="O7"/>
  <c r="F8" i="30"/>
  <c r="P7" i="4"/>
  <c r="K8" i="30"/>
  <c r="A8" i="4"/>
  <c r="B8"/>
  <c r="O8"/>
  <c r="F9" i="30"/>
  <c r="P8" i="4"/>
  <c r="K9" i="30"/>
  <c r="A9" i="4"/>
  <c r="B9"/>
  <c r="O9"/>
  <c r="P9"/>
  <c r="K10" i="30"/>
  <c r="A10" i="4"/>
  <c r="B10"/>
  <c r="O10"/>
  <c r="F11" i="30"/>
  <c r="P10" i="4"/>
  <c r="K11" i="30"/>
  <c r="A11" i="4"/>
  <c r="B11"/>
  <c r="O11"/>
  <c r="F12" i="30"/>
  <c r="P11" i="4"/>
  <c r="K12" i="30"/>
  <c r="A12" i="4"/>
  <c r="B12"/>
  <c r="O12"/>
  <c r="F13" i="30"/>
  <c r="P12" i="4"/>
  <c r="K13" i="30"/>
  <c r="A13" i="4"/>
  <c r="B13"/>
  <c r="O13"/>
  <c r="F14" i="30"/>
  <c r="P13" i="4"/>
  <c r="K14" i="30"/>
  <c r="A14" i="4"/>
  <c r="B14"/>
  <c r="O14"/>
  <c r="F15" i="30"/>
  <c r="P14" i="4"/>
  <c r="K15" i="30"/>
  <c r="A15" i="4"/>
  <c r="B15"/>
  <c r="O15"/>
  <c r="F16" i="30"/>
  <c r="P15" i="4"/>
  <c r="K16" i="30"/>
  <c r="A16" i="4"/>
  <c r="B16"/>
  <c r="O16"/>
  <c r="F17" i="30"/>
  <c r="P16" i="4"/>
  <c r="K17" i="30"/>
  <c r="A17" i="4"/>
  <c r="B17"/>
  <c r="O17"/>
  <c r="F18" i="30"/>
  <c r="P17" i="4"/>
  <c r="K18" i="30"/>
  <c r="A18" i="4"/>
  <c r="B18"/>
  <c r="O18"/>
  <c r="F19" i="30"/>
  <c r="P18" i="4"/>
  <c r="K19" i="30"/>
  <c r="A19" i="4"/>
  <c r="B19"/>
  <c r="O19"/>
  <c r="F20" i="30"/>
  <c r="P19" i="4"/>
  <c r="K20" i="30"/>
  <c r="A20" i="4"/>
  <c r="B20"/>
  <c r="O20"/>
  <c r="F21" i="30"/>
  <c r="P20" i="4"/>
  <c r="K21" i="30"/>
  <c r="A21" i="4"/>
  <c r="B21"/>
  <c r="O21"/>
  <c r="F22" i="30"/>
  <c r="P21" i="4"/>
  <c r="K22" i="30"/>
  <c r="A22" i="4"/>
  <c r="B22"/>
  <c r="O22"/>
  <c r="F23" i="30"/>
  <c r="P22" i="4"/>
  <c r="K23" i="30"/>
  <c r="A23" i="4"/>
  <c r="B23"/>
  <c r="O23"/>
  <c r="F24" i="30"/>
  <c r="P23" i="4"/>
  <c r="K24" i="30"/>
  <c r="A24" i="4"/>
  <c r="B24"/>
  <c r="O24"/>
  <c r="F25" i="30"/>
  <c r="P24" i="4"/>
  <c r="K25" i="30"/>
  <c r="A25" i="4"/>
  <c r="B25"/>
  <c r="O25"/>
  <c r="F26" i="30"/>
  <c r="P25" i="4"/>
  <c r="K26" i="30"/>
  <c r="A26" i="4"/>
  <c r="B26"/>
  <c r="O26"/>
  <c r="F27" i="30"/>
  <c r="P26" i="4"/>
  <c r="K27" i="30"/>
  <c r="A27" i="4"/>
  <c r="B27"/>
  <c r="O27"/>
  <c r="F28" i="30"/>
  <c r="P27" i="4"/>
  <c r="K28" i="30"/>
  <c r="A28" i="4"/>
  <c r="B28"/>
  <c r="O28"/>
  <c r="F29" i="30"/>
  <c r="P28" i="4"/>
  <c r="K29" i="30"/>
  <c r="A29" i="4"/>
  <c r="B29"/>
  <c r="O29"/>
  <c r="F30" i="30"/>
  <c r="P29" i="4"/>
  <c r="K30" i="30"/>
  <c r="A30" i="4"/>
  <c r="B30"/>
  <c r="O30"/>
  <c r="F31" i="30"/>
  <c r="P30" i="4"/>
  <c r="K31" i="30"/>
  <c r="A31" i="4"/>
  <c r="B31"/>
  <c r="O31"/>
  <c r="F32" i="30"/>
  <c r="P31" i="4"/>
  <c r="K32" i="30"/>
  <c r="A32" i="4"/>
  <c r="B32"/>
  <c r="O32"/>
  <c r="F33" i="30"/>
  <c r="P32" i="4"/>
  <c r="K33" i="30"/>
  <c r="A33" i="4"/>
  <c r="B33"/>
  <c r="O33"/>
  <c r="F34" i="30"/>
  <c r="P33" i="4"/>
  <c r="K34" i="30"/>
  <c r="A34" i="4"/>
  <c r="B34"/>
  <c r="O34"/>
  <c r="F35" i="30"/>
  <c r="P34" i="4"/>
  <c r="K35" i="30"/>
  <c r="A35" i="4"/>
  <c r="B35"/>
  <c r="O35"/>
  <c r="F36" i="30"/>
  <c r="P35" i="4"/>
  <c r="K36" i="30"/>
  <c r="A36" i="4"/>
  <c r="B36"/>
  <c r="O36"/>
  <c r="F37" i="30"/>
  <c r="P36" i="4"/>
  <c r="K37" i="30"/>
  <c r="A37" i="4"/>
  <c r="B37"/>
  <c r="O37"/>
  <c r="F38" i="30"/>
  <c r="P37" i="4"/>
  <c r="K38" i="30"/>
  <c r="A38" i="4"/>
  <c r="B38"/>
  <c r="O38"/>
  <c r="F39" i="30"/>
  <c r="P38" i="4"/>
  <c r="K39" i="30"/>
  <c r="A39" i="4"/>
  <c r="B39"/>
  <c r="O39"/>
  <c r="F40" i="30"/>
  <c r="P39" i="4"/>
  <c r="K40" i="30"/>
  <c r="A40" i="4"/>
  <c r="B40"/>
  <c r="O40"/>
  <c r="F41" i="30"/>
  <c r="P40" i="4"/>
  <c r="K41" i="30"/>
  <c r="A41" i="4"/>
  <c r="B41"/>
  <c r="O41"/>
  <c r="F42" i="30"/>
  <c r="P41" i="4"/>
  <c r="K42" i="30"/>
  <c r="A42" i="4"/>
  <c r="B42"/>
  <c r="O42"/>
  <c r="F43" i="30"/>
  <c r="P42" i="4"/>
  <c r="K43" i="30"/>
  <c r="A43" i="4"/>
  <c r="B43"/>
  <c r="O43"/>
  <c r="F44" i="30"/>
  <c r="P43" i="4"/>
  <c r="K44" i="30"/>
  <c r="A44" i="4"/>
  <c r="B44"/>
  <c r="O44"/>
  <c r="F45" i="30"/>
  <c r="P44" i="4"/>
  <c r="K45" i="30"/>
  <c r="A45" i="4"/>
  <c r="B45"/>
  <c r="O45"/>
  <c r="F46" i="30"/>
  <c r="P45" i="4"/>
  <c r="K46" i="30"/>
  <c r="A46" i="4"/>
  <c r="B46"/>
  <c r="O46"/>
  <c r="F47" i="30"/>
  <c r="P46" i="4"/>
  <c r="K47" i="30"/>
  <c r="A47" i="4"/>
  <c r="B47"/>
  <c r="O47"/>
  <c r="F48" i="30"/>
  <c r="P47" i="4"/>
  <c r="K48" i="30"/>
  <c r="A49" i="4"/>
  <c r="B49"/>
  <c r="O49"/>
  <c r="F50" i="30"/>
  <c r="P49" i="4"/>
  <c r="K50" i="30"/>
  <c r="C50" i="4"/>
  <c r="D50"/>
  <c r="E50"/>
  <c r="F50"/>
  <c r="G50"/>
  <c r="H50"/>
  <c r="I50"/>
  <c r="J50"/>
  <c r="K50"/>
  <c r="L50"/>
  <c r="M50"/>
  <c r="N50"/>
  <c r="A1" i="5"/>
  <c r="A6"/>
  <c r="B6"/>
  <c r="A7"/>
  <c r="B7"/>
  <c r="E8" i="30"/>
  <c r="A8" i="5"/>
  <c r="B8"/>
  <c r="J9" i="30"/>
  <c r="A9" i="5"/>
  <c r="B9"/>
  <c r="E10" i="30"/>
  <c r="A10" i="5"/>
  <c r="B10"/>
  <c r="A11"/>
  <c r="B11"/>
  <c r="E12" i="30"/>
  <c r="A12" i="5"/>
  <c r="B12"/>
  <c r="J13" i="30"/>
  <c r="A13" i="5"/>
  <c r="B13"/>
  <c r="E14" i="30"/>
  <c r="A14" i="5"/>
  <c r="B14"/>
  <c r="E15" i="30"/>
  <c r="J15"/>
  <c r="A15" i="5"/>
  <c r="B15"/>
  <c r="E16" i="30"/>
  <c r="A16" i="5"/>
  <c r="B16"/>
  <c r="J17" i="30"/>
  <c r="A17" i="5"/>
  <c r="B17"/>
  <c r="E18" i="30"/>
  <c r="A18" i="5"/>
  <c r="B18"/>
  <c r="J19" i="30"/>
  <c r="A19" i="5"/>
  <c r="B19"/>
  <c r="E20" i="30"/>
  <c r="A20" i="5"/>
  <c r="B20"/>
  <c r="J21" i="30"/>
  <c r="A21" i="5"/>
  <c r="B21"/>
  <c r="E22" i="30"/>
  <c r="A22" i="5"/>
  <c r="B22"/>
  <c r="J23" i="30"/>
  <c r="A23" i="5"/>
  <c r="B23"/>
  <c r="E24" i="30"/>
  <c r="A24" i="5"/>
  <c r="B24"/>
  <c r="J25" i="30"/>
  <c r="A25" i="5"/>
  <c r="B25"/>
  <c r="E26" i="30"/>
  <c r="A26" i="5"/>
  <c r="B26"/>
  <c r="J27" i="30"/>
  <c r="A27" i="5"/>
  <c r="B27"/>
  <c r="E28" i="30"/>
  <c r="A28" i="5"/>
  <c r="B28"/>
  <c r="J29" i="30"/>
  <c r="A29" i="5"/>
  <c r="B29"/>
  <c r="E30" i="30"/>
  <c r="A30" i="5"/>
  <c r="B30"/>
  <c r="A31"/>
  <c r="B31"/>
  <c r="E32" i="30"/>
  <c r="A32" i="5"/>
  <c r="B32"/>
  <c r="J33" i="30"/>
  <c r="A33" i="5"/>
  <c r="B33"/>
  <c r="E34" i="30"/>
  <c r="A34" i="5"/>
  <c r="B34"/>
  <c r="J35" i="30"/>
  <c r="A35" i="5"/>
  <c r="B35"/>
  <c r="E36" i="30"/>
  <c r="A36" i="5"/>
  <c r="B36"/>
  <c r="E37" i="30"/>
  <c r="J37"/>
  <c r="L37" s="1"/>
  <c r="A37" i="5"/>
  <c r="B37"/>
  <c r="E38" i="30"/>
  <c r="A38" i="5"/>
  <c r="B38"/>
  <c r="J39" i="30"/>
  <c r="A39" i="5"/>
  <c r="B39"/>
  <c r="E40" i="30"/>
  <c r="A40" i="5"/>
  <c r="B40"/>
  <c r="J41" i="30"/>
  <c r="A41" i="5"/>
  <c r="B41"/>
  <c r="E42" i="30"/>
  <c r="A42" i="5"/>
  <c r="B42"/>
  <c r="A43"/>
  <c r="B43"/>
  <c r="E44" i="30"/>
  <c r="A44" i="5"/>
  <c r="B44"/>
  <c r="J45" i="30"/>
  <c r="A45" i="5"/>
  <c r="B45"/>
  <c r="E46" i="30"/>
  <c r="A46" i="5"/>
  <c r="B46"/>
  <c r="E47" i="30"/>
  <c r="J47"/>
  <c r="A47" i="5"/>
  <c r="B47"/>
  <c r="A49"/>
  <c r="B49"/>
  <c r="J50" i="30"/>
  <c r="C50" i="5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Y50"/>
  <c r="Z50"/>
  <c r="A1" i="6"/>
  <c r="A6"/>
  <c r="B6"/>
  <c r="A7"/>
  <c r="B7"/>
  <c r="A8"/>
  <c r="B8"/>
  <c r="A9"/>
  <c r="B9"/>
  <c r="D10" i="30"/>
  <c r="A10" i="6"/>
  <c r="B10"/>
  <c r="I11" i="30"/>
  <c r="A11" i="6"/>
  <c r="B11"/>
  <c r="D12" i="30"/>
  <c r="A12" i="6"/>
  <c r="B12"/>
  <c r="I13" i="30"/>
  <c r="A13" i="6"/>
  <c r="B13"/>
  <c r="D14" i="30"/>
  <c r="A14" i="6"/>
  <c r="B14"/>
  <c r="A15"/>
  <c r="B15"/>
  <c r="A16"/>
  <c r="B16"/>
  <c r="A17"/>
  <c r="B17"/>
  <c r="D18" i="30"/>
  <c r="A18" i="6"/>
  <c r="B18"/>
  <c r="A19"/>
  <c r="B19"/>
  <c r="A20"/>
  <c r="B20"/>
  <c r="A21"/>
  <c r="B21"/>
  <c r="D22" i="30"/>
  <c r="A22" i="6"/>
  <c r="B22"/>
  <c r="A23"/>
  <c r="B23"/>
  <c r="A24"/>
  <c r="B24"/>
  <c r="A25"/>
  <c r="B25"/>
  <c r="D26" i="30"/>
  <c r="A26" i="6"/>
  <c r="B26"/>
  <c r="I27" i="30"/>
  <c r="A27" i="6"/>
  <c r="B27"/>
  <c r="A28"/>
  <c r="B28"/>
  <c r="D29" i="30"/>
  <c r="A29" i="6"/>
  <c r="B29"/>
  <c r="D30" i="30"/>
  <c r="A30" i="6"/>
  <c r="B30"/>
  <c r="A31"/>
  <c r="B31"/>
  <c r="A32"/>
  <c r="B32"/>
  <c r="A33"/>
  <c r="B33"/>
  <c r="D34" i="30"/>
  <c r="A34" i="6"/>
  <c r="B34"/>
  <c r="A35"/>
  <c r="B35"/>
  <c r="A36"/>
  <c r="B36"/>
  <c r="A37"/>
  <c r="B37"/>
  <c r="A38"/>
  <c r="B38"/>
  <c r="A39"/>
  <c r="B39"/>
  <c r="D40" i="30"/>
  <c r="A40" i="6"/>
  <c r="B40"/>
  <c r="A41"/>
  <c r="B41"/>
  <c r="A42"/>
  <c r="B42"/>
  <c r="I43" i="30"/>
  <c r="A43" i="6"/>
  <c r="B43"/>
  <c r="D44" i="30"/>
  <c r="A44" i="6"/>
  <c r="B44"/>
  <c r="A45"/>
  <c r="B45"/>
  <c r="D46" i="30"/>
  <c r="A46" i="6"/>
  <c r="B46"/>
  <c r="A47"/>
  <c r="B47"/>
  <c r="A49"/>
  <c r="B49"/>
  <c r="C50"/>
  <c r="D50"/>
  <c r="E50"/>
  <c r="F50"/>
  <c r="G50"/>
  <c r="H50"/>
  <c r="I50"/>
  <c r="J50"/>
  <c r="K50"/>
  <c r="L50"/>
  <c r="M50"/>
  <c r="N50"/>
  <c r="O50"/>
  <c r="P50"/>
  <c r="Q50"/>
  <c r="R50"/>
  <c r="U50"/>
  <c r="V50"/>
  <c r="A1" i="7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E22" i="33"/>
  <c r="A24" i="7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E46" i="33"/>
  <c r="A48" i="7"/>
  <c r="B48"/>
  <c r="A50"/>
  <c r="B50"/>
  <c r="C51"/>
  <c r="D51"/>
  <c r="E51"/>
  <c r="F51"/>
  <c r="G51"/>
  <c r="H51"/>
  <c r="I51"/>
  <c r="J51"/>
  <c r="K51"/>
  <c r="L51"/>
  <c r="M51"/>
  <c r="N51"/>
  <c r="A1" i="8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50"/>
  <c r="B50"/>
  <c r="C51"/>
  <c r="D51"/>
  <c r="E51"/>
  <c r="F51"/>
  <c r="G51"/>
  <c r="H51"/>
  <c r="I51"/>
  <c r="J51"/>
  <c r="K51"/>
  <c r="L51"/>
  <c r="Q51"/>
  <c r="R51"/>
  <c r="A1" i="9"/>
  <c r="A6"/>
  <c r="B6"/>
  <c r="C5"/>
  <c r="AU6"/>
  <c r="A7"/>
  <c r="B7"/>
  <c r="D5" s="1"/>
  <c r="AU7"/>
  <c r="H7" i="33"/>
  <c r="A8" i="9"/>
  <c r="B8"/>
  <c r="E5" s="1"/>
  <c r="AU8"/>
  <c r="A9"/>
  <c r="B9"/>
  <c r="F5"/>
  <c r="AU9"/>
  <c r="E9" i="44"/>
  <c r="A10" i="9"/>
  <c r="B10"/>
  <c r="G5"/>
  <c r="AU10"/>
  <c r="A11"/>
  <c r="B11"/>
  <c r="H5" s="1"/>
  <c r="AU11"/>
  <c r="H11" i="33"/>
  <c r="A12" i="9"/>
  <c r="B12"/>
  <c r="I5" s="1"/>
  <c r="AU12"/>
  <c r="A13"/>
  <c r="B13"/>
  <c r="J5" s="1"/>
  <c r="AU13"/>
  <c r="E13" i="44"/>
  <c r="A14" i="9"/>
  <c r="B14"/>
  <c r="K5" s="1"/>
  <c r="AU14"/>
  <c r="F14" i="31"/>
  <c r="A15" i="9"/>
  <c r="B15"/>
  <c r="L5" s="1"/>
  <c r="AU15"/>
  <c r="A16"/>
  <c r="B16"/>
  <c r="M5"/>
  <c r="AU16"/>
  <c r="A17"/>
  <c r="B17"/>
  <c r="N5" s="1"/>
  <c r="AU17"/>
  <c r="A18"/>
  <c r="B18"/>
  <c r="O5"/>
  <c r="AU18"/>
  <c r="A19"/>
  <c r="B19"/>
  <c r="P5" s="1"/>
  <c r="AU19"/>
  <c r="A20"/>
  <c r="B20"/>
  <c r="Q5"/>
  <c r="AU20"/>
  <c r="A21"/>
  <c r="B21"/>
  <c r="R5" s="1"/>
  <c r="AU21"/>
  <c r="A22"/>
  <c r="B22"/>
  <c r="S5"/>
  <c r="AU22"/>
  <c r="A23"/>
  <c r="B23"/>
  <c r="T5" s="1"/>
  <c r="AU23"/>
  <c r="A24"/>
  <c r="B24"/>
  <c r="U5"/>
  <c r="AU24"/>
  <c r="A25"/>
  <c r="B25"/>
  <c r="V5" s="1"/>
  <c r="AU25"/>
  <c r="A26"/>
  <c r="B26"/>
  <c r="W5"/>
  <c r="AU26"/>
  <c r="A27"/>
  <c r="B27"/>
  <c r="X5" s="1"/>
  <c r="AU27"/>
  <c r="A28"/>
  <c r="B28"/>
  <c r="Y5"/>
  <c r="AU28"/>
  <c r="A29"/>
  <c r="B29"/>
  <c r="Z5" s="1"/>
  <c r="AU29"/>
  <c r="A30"/>
  <c r="B30"/>
  <c r="AA5"/>
  <c r="AU30"/>
  <c r="A31"/>
  <c r="B31"/>
  <c r="AB5" s="1"/>
  <c r="AU31"/>
  <c r="A32"/>
  <c r="B32"/>
  <c r="AC5"/>
  <c r="AU32"/>
  <c r="A33"/>
  <c r="B33"/>
  <c r="AD5" s="1"/>
  <c r="AU33"/>
  <c r="A34"/>
  <c r="B34"/>
  <c r="AE5"/>
  <c r="AU34"/>
  <c r="A35"/>
  <c r="B35"/>
  <c r="AF5" s="1"/>
  <c r="AU35"/>
  <c r="A36"/>
  <c r="B36"/>
  <c r="AG5"/>
  <c r="AU36"/>
  <c r="A37"/>
  <c r="B37"/>
  <c r="AH5" s="1"/>
  <c r="AU37"/>
  <c r="A38"/>
  <c r="B38"/>
  <c r="AI5"/>
  <c r="AU38"/>
  <c r="A39"/>
  <c r="B39"/>
  <c r="AJ5" s="1"/>
  <c r="AU39"/>
  <c r="A40"/>
  <c r="B40"/>
  <c r="AK5"/>
  <c r="AU40"/>
  <c r="A41"/>
  <c r="B41"/>
  <c r="AL5" s="1"/>
  <c r="AU41"/>
  <c r="A42"/>
  <c r="B42"/>
  <c r="AM5"/>
  <c r="AU42"/>
  <c r="A43"/>
  <c r="B43"/>
  <c r="AN5" s="1"/>
  <c r="AU43"/>
  <c r="A44"/>
  <c r="B44"/>
  <c r="AO5"/>
  <c r="AU44"/>
  <c r="A45"/>
  <c r="B45"/>
  <c r="AP5" s="1"/>
  <c r="AU45"/>
  <c r="A46"/>
  <c r="B46"/>
  <c r="AQ5"/>
  <c r="AU46"/>
  <c r="A47"/>
  <c r="B47"/>
  <c r="AR5" s="1"/>
  <c r="AU47"/>
  <c r="A49"/>
  <c r="B49"/>
  <c r="AT5"/>
  <c r="AU49"/>
  <c r="C50"/>
  <c r="F6" i="33"/>
  <c r="D50" i="9"/>
  <c r="E50"/>
  <c r="G8" i="31"/>
  <c r="F50" i="9"/>
  <c r="G50"/>
  <c r="H50"/>
  <c r="G11" i="48"/>
  <c r="I50" i="9"/>
  <c r="G12" i="31"/>
  <c r="J50" i="9"/>
  <c r="K50"/>
  <c r="G14" i="31"/>
  <c r="L50" i="9"/>
  <c r="M50"/>
  <c r="N50"/>
  <c r="O50"/>
  <c r="F18" i="33"/>
  <c r="P50" i="9"/>
  <c r="Q50"/>
  <c r="R50"/>
  <c r="F21" i="33"/>
  <c r="S50" i="9"/>
  <c r="T50"/>
  <c r="U50"/>
  <c r="V50"/>
  <c r="F25" i="33"/>
  <c r="W50" i="9"/>
  <c r="F26" i="33"/>
  <c r="X50" i="9"/>
  <c r="G27" i="48"/>
  <c r="Y50" i="9"/>
  <c r="Z50"/>
  <c r="AA50"/>
  <c r="F30" i="33"/>
  <c r="AB50" i="9"/>
  <c r="AC50"/>
  <c r="G32" i="31"/>
  <c r="AD50" i="9"/>
  <c r="AE50"/>
  <c r="F34" i="33"/>
  <c r="AF50" i="9"/>
  <c r="G35" i="48"/>
  <c r="AG50" i="9"/>
  <c r="G36" i="48"/>
  <c r="AH50" i="9"/>
  <c r="AI50"/>
  <c r="F38" i="33"/>
  <c r="AJ50" i="9"/>
  <c r="AK50"/>
  <c r="AL50"/>
  <c r="F41" i="33"/>
  <c r="AM50" i="9"/>
  <c r="G42" i="48"/>
  <c r="AN50" i="9"/>
  <c r="AO50"/>
  <c r="G44" i="48"/>
  <c r="AP50" i="9"/>
  <c r="F45" i="33"/>
  <c r="AQ50" i="9"/>
  <c r="AR50"/>
  <c r="G47" i="31"/>
  <c r="AT50" i="9"/>
  <c r="A1" i="20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9"/>
  <c r="B49"/>
  <c r="C50"/>
  <c r="D50"/>
  <c r="E50"/>
  <c r="F50"/>
  <c r="G50"/>
  <c r="H50"/>
  <c r="I50"/>
  <c r="J50"/>
  <c r="K50"/>
  <c r="C176" i="47"/>
  <c r="L50" i="20"/>
  <c r="M50"/>
  <c r="N50"/>
  <c r="O50"/>
  <c r="P50"/>
  <c r="Q50"/>
  <c r="R50"/>
  <c r="A1" i="53"/>
  <c r="B1"/>
  <c r="A12"/>
  <c r="C12"/>
  <c r="A13"/>
  <c r="C13"/>
  <c r="A14"/>
  <c r="C14"/>
  <c r="A15"/>
  <c r="C15"/>
  <c r="A16"/>
  <c r="C16"/>
  <c r="D17"/>
  <c r="E17"/>
  <c r="F17"/>
  <c r="G17"/>
  <c r="H17"/>
  <c r="I17"/>
  <c r="J17"/>
  <c r="K17"/>
  <c r="C11" i="11"/>
  <c r="B13" i="35"/>
  <c r="D11" i="11"/>
  <c r="M11"/>
  <c r="N11"/>
  <c r="O11"/>
  <c r="P11"/>
  <c r="C4" i="2"/>
  <c r="L4"/>
  <c r="M10"/>
  <c r="L11"/>
  <c r="M11"/>
  <c r="P15" i="32"/>
  <c r="AA15" s="1"/>
  <c r="M16" i="2"/>
  <c r="L17"/>
  <c r="I17" i="31"/>
  <c r="M18" i="2"/>
  <c r="L19"/>
  <c r="I19" i="31"/>
  <c r="L20" i="2"/>
  <c r="M20"/>
  <c r="P22" i="32"/>
  <c r="P52" s="1"/>
  <c r="AA52" s="1"/>
  <c r="L21" i="2"/>
  <c r="L22"/>
  <c r="N22"/>
  <c r="M22"/>
  <c r="L23"/>
  <c r="M24"/>
  <c r="L25"/>
  <c r="D25" i="58"/>
  <c r="H25" s="1"/>
  <c r="M26" i="2"/>
  <c r="L27"/>
  <c r="M27"/>
  <c r="M28"/>
  <c r="L29"/>
  <c r="M30"/>
  <c r="P32" i="32"/>
  <c r="L31" i="2"/>
  <c r="AX31" i="18"/>
  <c r="L32" i="2"/>
  <c r="AX32" i="18"/>
  <c r="M32" i="2"/>
  <c r="L33"/>
  <c r="AX33" i="18"/>
  <c r="AW33" s="1"/>
  <c r="L34" i="2"/>
  <c r="M34"/>
  <c r="AY34" i="18"/>
  <c r="L35" i="2"/>
  <c r="M35"/>
  <c r="M36"/>
  <c r="C36" i="58"/>
  <c r="L37" i="2"/>
  <c r="AY37" i="18"/>
  <c r="M38" i="2"/>
  <c r="L39"/>
  <c r="M39"/>
  <c r="M40"/>
  <c r="H41" i="30"/>
  <c r="L41"/>
  <c r="L41" i="2"/>
  <c r="D41" i="48"/>
  <c r="K41" s="1"/>
  <c r="M41" i="2"/>
  <c r="M42"/>
  <c r="D42" i="48"/>
  <c r="L43" i="2"/>
  <c r="L44"/>
  <c r="C46" i="32"/>
  <c r="M44" i="2"/>
  <c r="L45"/>
  <c r="M45"/>
  <c r="L46"/>
  <c r="M46"/>
  <c r="AY46" i="18"/>
  <c r="AW46"/>
  <c r="L47" i="2"/>
  <c r="M47"/>
  <c r="L49"/>
  <c r="D49" i="58"/>
  <c r="M49" i="2"/>
  <c r="D50"/>
  <c r="F50"/>
  <c r="H50"/>
  <c r="J50"/>
  <c r="B2" i="49"/>
  <c r="D3"/>
  <c r="H7"/>
  <c r="H11"/>
  <c r="H14"/>
  <c r="H19"/>
  <c r="H22"/>
  <c r="I24"/>
  <c r="K56" i="47"/>
  <c r="C3"/>
  <c r="K9"/>
  <c r="K13"/>
  <c r="K59"/>
  <c r="K62"/>
  <c r="Q47" i="58"/>
  <c r="O23"/>
  <c r="J11"/>
  <c r="P37"/>
  <c r="Q14"/>
  <c r="N12"/>
  <c r="H38" i="30"/>
  <c r="P27" i="32"/>
  <c r="Y27" s="1"/>
  <c r="H26" i="30"/>
  <c r="L26" s="1"/>
  <c r="H16"/>
  <c r="H8"/>
  <c r="L8"/>
  <c r="P8" i="32"/>
  <c r="H7" i="30"/>
  <c r="L7"/>
  <c r="G34" i="31"/>
  <c r="G26"/>
  <c r="G22" i="48"/>
  <c r="F22" i="33"/>
  <c r="G22" i="31"/>
  <c r="G18" i="48"/>
  <c r="G18" i="31"/>
  <c r="F14" i="33"/>
  <c r="F10"/>
  <c r="G6" i="48"/>
  <c r="E20" i="33"/>
  <c r="C33" i="32"/>
  <c r="N33"/>
  <c r="C21"/>
  <c r="N21" s="1"/>
  <c r="D15" i="58"/>
  <c r="C16" i="30"/>
  <c r="G16" s="1"/>
  <c r="I12" i="31"/>
  <c r="G45" i="48"/>
  <c r="G45" i="31"/>
  <c r="G43" i="48"/>
  <c r="G41"/>
  <c r="G41" i="31"/>
  <c r="G37" i="48"/>
  <c r="F37" i="33"/>
  <c r="G37" i="31"/>
  <c r="G33" i="48"/>
  <c r="F33" i="33"/>
  <c r="G33" i="31"/>
  <c r="G31"/>
  <c r="G25" i="48"/>
  <c r="G25" i="31"/>
  <c r="G21" i="48"/>
  <c r="G21" i="31"/>
  <c r="F19" i="33"/>
  <c r="G11" i="31"/>
  <c r="G7" i="48"/>
  <c r="F49"/>
  <c r="E49" i="44"/>
  <c r="H49" i="33"/>
  <c r="F49" i="31"/>
  <c r="F47" i="48"/>
  <c r="H47" i="33"/>
  <c r="F46" i="48"/>
  <c r="E46" i="44"/>
  <c r="H46" i="33"/>
  <c r="F46" i="31"/>
  <c r="H46" s="1"/>
  <c r="J46" s="1"/>
  <c r="F44" i="48"/>
  <c r="E44" i="44"/>
  <c r="H44" i="33"/>
  <c r="F44" i="31"/>
  <c r="F43" i="48"/>
  <c r="H43" i="33"/>
  <c r="F42" i="48"/>
  <c r="E42" i="44"/>
  <c r="H42" i="33"/>
  <c r="F42" i="31"/>
  <c r="F41" i="48"/>
  <c r="F40"/>
  <c r="E40" i="44"/>
  <c r="H40" i="33"/>
  <c r="F40" i="31"/>
  <c r="F39" i="48"/>
  <c r="J39" s="1"/>
  <c r="I39" s="1"/>
  <c r="H39" i="33"/>
  <c r="F38" i="48"/>
  <c r="E38" i="44"/>
  <c r="H38" i="33"/>
  <c r="F38" i="31"/>
  <c r="F36" i="48"/>
  <c r="E36" i="44"/>
  <c r="H36" i="33"/>
  <c r="I36" s="1"/>
  <c r="F36" i="31"/>
  <c r="F35" i="48"/>
  <c r="H35" i="33"/>
  <c r="F34" i="48"/>
  <c r="E34" i="44"/>
  <c r="H34" i="33"/>
  <c r="F34" i="31"/>
  <c r="F32" i="48"/>
  <c r="E32" i="44"/>
  <c r="H32" i="33"/>
  <c r="F32" i="31"/>
  <c r="F31" i="48"/>
  <c r="H31" i="33"/>
  <c r="F30" i="48"/>
  <c r="E30" i="44"/>
  <c r="H30" i="33"/>
  <c r="I30" s="1"/>
  <c r="F30" i="31"/>
  <c r="F29" i="48"/>
  <c r="F28"/>
  <c r="E28" i="44"/>
  <c r="H28" i="33"/>
  <c r="F28" i="31"/>
  <c r="F27" i="48"/>
  <c r="H27" i="33"/>
  <c r="I27" s="1"/>
  <c r="F26" i="48"/>
  <c r="E26" i="44"/>
  <c r="H26" i="33"/>
  <c r="F26" i="31"/>
  <c r="F25" i="48"/>
  <c r="F24"/>
  <c r="E24" i="44"/>
  <c r="H24" i="33"/>
  <c r="I24" s="1"/>
  <c r="F24" i="31"/>
  <c r="F23" i="48"/>
  <c r="H23" i="33"/>
  <c r="F22" i="48"/>
  <c r="E22" i="44"/>
  <c r="H22" i="33"/>
  <c r="F22" i="31"/>
  <c r="F20" i="48"/>
  <c r="J20" s="1"/>
  <c r="E20" i="44"/>
  <c r="H20" i="33"/>
  <c r="F20" i="31"/>
  <c r="F19" i="48"/>
  <c r="H19" i="33"/>
  <c r="F18" i="48"/>
  <c r="E18" i="44"/>
  <c r="H18" i="33"/>
  <c r="I18" s="1"/>
  <c r="F18" i="31"/>
  <c r="E17" i="44"/>
  <c r="F16" i="48"/>
  <c r="E16" i="44"/>
  <c r="H16" i="33"/>
  <c r="F16" i="31"/>
  <c r="F14" i="48"/>
  <c r="E14" i="44"/>
  <c r="G14" s="1"/>
  <c r="H14" i="33"/>
  <c r="H13"/>
  <c r="E12" i="44"/>
  <c r="F12" i="31"/>
  <c r="H9" i="33"/>
  <c r="E8" i="44"/>
  <c r="F8" i="31"/>
  <c r="F6"/>
  <c r="F50" s="1"/>
  <c r="D47" i="44"/>
  <c r="D46" i="33"/>
  <c r="D44" i="31"/>
  <c r="D38" i="33"/>
  <c r="D31" i="31"/>
  <c r="D26" i="44"/>
  <c r="D24" i="33"/>
  <c r="D21" i="44"/>
  <c r="G21" s="1"/>
  <c r="D21" i="31"/>
  <c r="D19" i="33"/>
  <c r="D17" i="44"/>
  <c r="D17" i="31"/>
  <c r="D16" i="33"/>
  <c r="D13" i="44"/>
  <c r="D12"/>
  <c r="H11" i="48"/>
  <c r="J11" s="1"/>
  <c r="D10" i="44"/>
  <c r="H8" i="48"/>
  <c r="D7" i="31"/>
  <c r="C11" i="48"/>
  <c r="N31" i="58"/>
  <c r="N27"/>
  <c r="L37"/>
  <c r="P23"/>
  <c r="S23" s="1"/>
  <c r="L35"/>
  <c r="Q27"/>
  <c r="Q37"/>
  <c r="J37"/>
  <c r="J23"/>
  <c r="C8" i="45"/>
  <c r="C170" i="47"/>
  <c r="C28" i="32"/>
  <c r="N28" s="1"/>
  <c r="C20"/>
  <c r="D28" i="31"/>
  <c r="H32" i="48"/>
  <c r="D32" i="31"/>
  <c r="D36"/>
  <c r="D40"/>
  <c r="H49" i="48"/>
  <c r="G47"/>
  <c r="F47" i="33"/>
  <c r="G39" i="48"/>
  <c r="G35" i="31"/>
  <c r="F35" i="33"/>
  <c r="G31" i="48"/>
  <c r="F31" i="33"/>
  <c r="F23"/>
  <c r="F15"/>
  <c r="F11"/>
  <c r="D10" i="31"/>
  <c r="D28" i="44"/>
  <c r="D36" i="33"/>
  <c r="D44" i="44"/>
  <c r="C27" i="30"/>
  <c r="F28" i="33"/>
  <c r="F20"/>
  <c r="C34" i="32"/>
  <c r="E38" i="33"/>
  <c r="E22" i="31"/>
  <c r="E6"/>
  <c r="D7" i="30"/>
  <c r="W50" i="6"/>
  <c r="E7" i="30"/>
  <c r="E51" s="1"/>
  <c r="D6" i="44"/>
  <c r="H14" i="48"/>
  <c r="H34"/>
  <c r="D34" i="31"/>
  <c r="D38"/>
  <c r="D46"/>
  <c r="P51" i="32"/>
  <c r="H37" i="30"/>
  <c r="P18" i="32"/>
  <c r="AA18"/>
  <c r="M10"/>
  <c r="X50" i="6"/>
  <c r="C180" i="47"/>
  <c r="D29" i="31"/>
  <c r="D37"/>
  <c r="D43" i="33"/>
  <c r="F48" i="48"/>
  <c r="E48" i="44"/>
  <c r="F48" i="31"/>
  <c r="H48" i="33"/>
  <c r="D48"/>
  <c r="H48" i="48"/>
  <c r="E48" i="33"/>
  <c r="G40" i="48"/>
  <c r="D18" i="31"/>
  <c r="D26"/>
  <c r="D32" i="33"/>
  <c r="D36" i="44"/>
  <c r="H44" i="48"/>
  <c r="D49" i="31"/>
  <c r="R37" i="58"/>
  <c r="P9" i="32"/>
  <c r="J47" i="58"/>
  <c r="M47" s="1"/>
  <c r="T47"/>
  <c r="L47"/>
  <c r="T35"/>
  <c r="C15" i="64"/>
  <c r="H15" s="1"/>
  <c r="C31"/>
  <c r="R23" i="58"/>
  <c r="P13" i="32"/>
  <c r="T17" i="53"/>
  <c r="C175" i="47"/>
  <c r="C46" i="45"/>
  <c r="C41"/>
  <c r="G48" i="31"/>
  <c r="P39" i="32"/>
  <c r="H23" i="30"/>
  <c r="L23" s="1"/>
  <c r="M49" i="32"/>
  <c r="M48"/>
  <c r="M47"/>
  <c r="M45"/>
  <c r="M44"/>
  <c r="M43"/>
  <c r="M41"/>
  <c r="M40"/>
  <c r="M39"/>
  <c r="C42" i="45"/>
  <c r="C38"/>
  <c r="M36" i="32"/>
  <c r="M34"/>
  <c r="M33"/>
  <c r="M30"/>
  <c r="M29"/>
  <c r="M28"/>
  <c r="M25"/>
  <c r="M24"/>
  <c r="M22"/>
  <c r="M21"/>
  <c r="M20"/>
  <c r="F48" i="33"/>
  <c r="I15" i="31"/>
  <c r="C45" i="45"/>
  <c r="C49" i="64"/>
  <c r="A1" i="65"/>
  <c r="D37" i="48"/>
  <c r="AY13" i="18"/>
  <c r="H14" i="30"/>
  <c r="L14" s="1"/>
  <c r="F49" i="33"/>
  <c r="G46" i="31"/>
  <c r="F42" i="33"/>
  <c r="G42" i="31"/>
  <c r="G38"/>
  <c r="F36" i="33"/>
  <c r="G36" i="31"/>
  <c r="G34" i="48"/>
  <c r="E15" i="44"/>
  <c r="E11"/>
  <c r="E7"/>
  <c r="AX43" i="18"/>
  <c r="C41" i="32"/>
  <c r="G27" i="31"/>
  <c r="G10" i="48"/>
  <c r="G10" i="31"/>
  <c r="D13"/>
  <c r="D19" i="35"/>
  <c r="E18" i="31"/>
  <c r="E36"/>
  <c r="E45"/>
  <c r="E44"/>
  <c r="E44" i="33"/>
  <c r="E37" i="31"/>
  <c r="E34" i="33"/>
  <c r="E28" i="31"/>
  <c r="E16"/>
  <c r="E16" i="33"/>
  <c r="E50" s="1"/>
  <c r="E14" i="31"/>
  <c r="H7" i="48"/>
  <c r="H15"/>
  <c r="D14" i="31"/>
  <c r="P11" i="58"/>
  <c r="S11" s="1"/>
  <c r="D2" i="70"/>
  <c r="D2" i="69"/>
  <c r="J163" i="72"/>
  <c r="I163"/>
  <c r="D2"/>
  <c r="A1" i="64"/>
  <c r="A1" i="68"/>
  <c r="D2" i="71"/>
  <c r="D8" i="58"/>
  <c r="G8"/>
  <c r="D24" i="48"/>
  <c r="J24" s="1"/>
  <c r="I24" s="1"/>
  <c r="C32" i="30"/>
  <c r="G32"/>
  <c r="C33" i="58"/>
  <c r="C34" i="30"/>
  <c r="G34"/>
  <c r="D33" i="58"/>
  <c r="D42"/>
  <c r="C35" i="32"/>
  <c r="AY14" i="18"/>
  <c r="C48" i="45"/>
  <c r="C37"/>
  <c r="C20"/>
  <c r="E20" s="1"/>
  <c r="N30" i="58"/>
  <c r="N9"/>
  <c r="P6"/>
  <c r="O9"/>
  <c r="R9"/>
  <c r="N6"/>
  <c r="J9"/>
  <c r="O6"/>
  <c r="L6"/>
  <c r="Q9"/>
  <c r="Q11"/>
  <c r="T11"/>
  <c r="R11"/>
  <c r="T6"/>
  <c r="Q6"/>
  <c r="T9"/>
  <c r="P9"/>
  <c r="S9"/>
  <c r="L11"/>
  <c r="O11"/>
  <c r="P47"/>
  <c r="N47"/>
  <c r="Q12"/>
  <c r="C22" i="48"/>
  <c r="C38"/>
  <c r="G27" i="30"/>
  <c r="AA50" i="5"/>
  <c r="AB50"/>
  <c r="L16" i="30"/>
  <c r="L49"/>
  <c r="E11" i="33"/>
  <c r="E15" i="31"/>
  <c r="E23"/>
  <c r="E29"/>
  <c r="E33" i="33"/>
  <c r="G33" s="1"/>
  <c r="I33" s="1"/>
  <c r="E45"/>
  <c r="G45" s="1"/>
  <c r="E25" i="31"/>
  <c r="H25"/>
  <c r="E27" i="33"/>
  <c r="E17"/>
  <c r="E21"/>
  <c r="E35" i="31"/>
  <c r="E41"/>
  <c r="E47"/>
  <c r="H25" i="48"/>
  <c r="D25" i="33"/>
  <c r="G25" s="1"/>
  <c r="D25" i="31"/>
  <c r="D27"/>
  <c r="H27" i="48"/>
  <c r="D27" i="44"/>
  <c r="H29" i="48"/>
  <c r="D29" i="33"/>
  <c r="G29" s="1"/>
  <c r="I29" s="1"/>
  <c r="D29" i="44"/>
  <c r="H31" i="48"/>
  <c r="D31" i="44"/>
  <c r="D31" i="33"/>
  <c r="D33" i="31"/>
  <c r="H33" i="48"/>
  <c r="H35"/>
  <c r="D35" i="44"/>
  <c r="D35" i="33"/>
  <c r="D35" i="31"/>
  <c r="D37" i="33"/>
  <c r="D37" i="44"/>
  <c r="H37" i="48"/>
  <c r="H39"/>
  <c r="D39" i="44"/>
  <c r="D39" i="31"/>
  <c r="H41" i="48"/>
  <c r="D41" i="44"/>
  <c r="D41" i="33"/>
  <c r="D43" i="44"/>
  <c r="D43" i="31"/>
  <c r="H43" i="48"/>
  <c r="H45"/>
  <c r="D45" i="44"/>
  <c r="D45" i="33"/>
  <c r="D45" i="31"/>
  <c r="D47" i="33"/>
  <c r="D47" i="31"/>
  <c r="D39" i="33"/>
  <c r="D27"/>
  <c r="D41" i="31"/>
  <c r="D23" i="44"/>
  <c r="D23" i="33"/>
  <c r="D23" i="31"/>
  <c r="D22" i="33"/>
  <c r="G22"/>
  <c r="I22"/>
  <c r="D22" i="31"/>
  <c r="H22" i="48"/>
  <c r="H47"/>
  <c r="D33" i="33"/>
  <c r="D25" i="44"/>
  <c r="D33"/>
  <c r="D7"/>
  <c r="D7" i="33"/>
  <c r="H9" i="48"/>
  <c r="D9" i="33"/>
  <c r="D9" i="44"/>
  <c r="D9" i="31"/>
  <c r="D11" i="44"/>
  <c r="D11" i="31"/>
  <c r="D11" i="33"/>
  <c r="G11" s="1"/>
  <c r="I11"/>
  <c r="D15" i="44"/>
  <c r="D15" i="33"/>
  <c r="G15" s="1"/>
  <c r="I15" s="1"/>
  <c r="D15" i="31"/>
  <c r="D18" i="44"/>
  <c r="D18" i="33"/>
  <c r="G18" s="1"/>
  <c r="H18" i="48"/>
  <c r="D20" i="44"/>
  <c r="H20" i="48"/>
  <c r="D20" i="31"/>
  <c r="D20" i="33"/>
  <c r="H16" i="48"/>
  <c r="D12" i="33"/>
  <c r="H46" i="48"/>
  <c r="D34" i="33"/>
  <c r="G34" s="1"/>
  <c r="I34"/>
  <c r="D24" i="31"/>
  <c r="D16"/>
  <c r="H38" i="48"/>
  <c r="D14" i="44"/>
  <c r="D30" i="33"/>
  <c r="D49"/>
  <c r="D40" i="44"/>
  <c r="H28" i="48"/>
  <c r="D21" i="33"/>
  <c r="D24" i="44"/>
  <c r="D26" i="33"/>
  <c r="D8"/>
  <c r="S51" i="8"/>
  <c r="D42" i="44"/>
  <c r="D30"/>
  <c r="D6" i="31"/>
  <c r="D50" s="1"/>
  <c r="D42" i="33"/>
  <c r="D40"/>
  <c r="D30" i="31"/>
  <c r="D42"/>
  <c r="H23" i="48"/>
  <c r="AY30" i="18"/>
  <c r="AX44"/>
  <c r="AW44" s="1"/>
  <c r="C45" i="30"/>
  <c r="G45"/>
  <c r="D44" i="48"/>
  <c r="N42" i="2"/>
  <c r="C42" i="58"/>
  <c r="C42" i="44"/>
  <c r="I42" i="31"/>
  <c r="C40" i="32"/>
  <c r="L40" s="1"/>
  <c r="O40" s="1"/>
  <c r="C39" i="30"/>
  <c r="G39"/>
  <c r="AY36" i="18"/>
  <c r="P38" i="32"/>
  <c r="C43" i="30"/>
  <c r="G43" s="1"/>
  <c r="AX38" i="18"/>
  <c r="I7" i="31"/>
  <c r="C33" i="30"/>
  <c r="G33"/>
  <c r="D16" i="58"/>
  <c r="G16" s="1"/>
  <c r="H18" i="30"/>
  <c r="L18"/>
  <c r="H44"/>
  <c r="L44"/>
  <c r="AY43" i="18"/>
  <c r="P45" i="32"/>
  <c r="AA45"/>
  <c r="H42" i="30"/>
  <c r="L42" s="1"/>
  <c r="AY39" i="18"/>
  <c r="N36" i="2"/>
  <c r="AX36" i="18"/>
  <c r="AW36"/>
  <c r="C37" i="30"/>
  <c r="G37"/>
  <c r="I36" i="31"/>
  <c r="AX26" i="18"/>
  <c r="N19" i="2"/>
  <c r="D19" i="58"/>
  <c r="N16" i="2"/>
  <c r="AY28" i="18"/>
  <c r="P30" i="32"/>
  <c r="H29" i="30"/>
  <c r="L29" s="1"/>
  <c r="D7" i="48"/>
  <c r="N14" i="2"/>
  <c r="C15" i="30"/>
  <c r="G15"/>
  <c r="D14" i="48"/>
  <c r="AB18" i="32"/>
  <c r="C11"/>
  <c r="L11" s="1"/>
  <c r="O11" s="1"/>
  <c r="Y15"/>
  <c r="AB15" s="1"/>
  <c r="N40" i="2"/>
  <c r="X40" i="14"/>
  <c r="AX48" i="18"/>
  <c r="I48" i="31"/>
  <c r="D48" i="48"/>
  <c r="C48" i="58"/>
  <c r="AX42" i="18"/>
  <c r="AW42" s="1"/>
  <c r="C44" i="32"/>
  <c r="L44"/>
  <c r="O44" s="1"/>
  <c r="C7" i="58"/>
  <c r="F33"/>
  <c r="H36" i="30"/>
  <c r="L36" s="1"/>
  <c r="AY35" i="18"/>
  <c r="C23" i="30"/>
  <c r="G23"/>
  <c r="P19" i="32"/>
  <c r="Y19" s="1"/>
  <c r="AB19" s="1"/>
  <c r="C12" i="30"/>
  <c r="G12" s="1"/>
  <c r="C13" i="32"/>
  <c r="N11" i="2"/>
  <c r="H10" i="30"/>
  <c r="L10"/>
  <c r="P11" i="32"/>
  <c r="N30" i="2"/>
  <c r="Q30" i="4"/>
  <c r="N17" i="2"/>
  <c r="N15"/>
  <c r="Q15" i="4"/>
  <c r="N37" i="2"/>
  <c r="N25"/>
  <c r="N23"/>
  <c r="N21"/>
  <c r="X21" i="14"/>
  <c r="N18" i="2"/>
  <c r="D9" i="58"/>
  <c r="C8"/>
  <c r="I9" i="31"/>
  <c r="C9" i="44"/>
  <c r="G9"/>
  <c r="D9" i="48"/>
  <c r="AX9" i="18"/>
  <c r="AY8"/>
  <c r="C10" i="30"/>
  <c r="C49"/>
  <c r="G49"/>
  <c r="D48" i="58"/>
  <c r="C48" i="44"/>
  <c r="C50" i="32"/>
  <c r="N48" i="2"/>
  <c r="I47" i="31"/>
  <c r="C44" i="30"/>
  <c r="G44"/>
  <c r="D43" i="58"/>
  <c r="H43" s="1"/>
  <c r="C39" i="44"/>
  <c r="G39" s="1"/>
  <c r="C38" i="32"/>
  <c r="N38" s="1"/>
  <c r="D36" i="58"/>
  <c r="F36" s="1"/>
  <c r="C36" i="44"/>
  <c r="D36" i="48"/>
  <c r="N33" i="2"/>
  <c r="X33" i="14"/>
  <c r="I32" i="31"/>
  <c r="N32" i="2"/>
  <c r="AZ32" i="18"/>
  <c r="AX25"/>
  <c r="AW25" s="1"/>
  <c r="AX24"/>
  <c r="C23" i="58"/>
  <c r="I22" i="31"/>
  <c r="C20" i="58"/>
  <c r="AX20" i="18"/>
  <c r="D20" i="48"/>
  <c r="C21" i="30"/>
  <c r="G21" s="1"/>
  <c r="C19" i="44"/>
  <c r="AX19" i="18"/>
  <c r="C20" i="30"/>
  <c r="G20"/>
  <c r="D19" i="48"/>
  <c r="C19" i="30"/>
  <c r="G19"/>
  <c r="D18" i="48"/>
  <c r="AX18" i="18"/>
  <c r="C19" i="32"/>
  <c r="N19" s="1"/>
  <c r="C18" i="30"/>
  <c r="G18" s="1"/>
  <c r="D17" i="48"/>
  <c r="AX17" i="18"/>
  <c r="AW17" s="1"/>
  <c r="C17" i="44"/>
  <c r="G17" s="1"/>
  <c r="C18" i="32"/>
  <c r="C17" i="30"/>
  <c r="G17" s="1"/>
  <c r="D16" i="48"/>
  <c r="AX16" i="18"/>
  <c r="C15" i="58"/>
  <c r="C15" i="44"/>
  <c r="G15" s="1"/>
  <c r="C16" i="32"/>
  <c r="AX14" i="18"/>
  <c r="AW14" s="1"/>
  <c r="I14" i="31"/>
  <c r="D14" i="58"/>
  <c r="C14"/>
  <c r="C14" i="44"/>
  <c r="C12" i="58"/>
  <c r="C12" i="44"/>
  <c r="N6" i="2"/>
  <c r="K6" i="15"/>
  <c r="C7" i="30"/>
  <c r="G7"/>
  <c r="C8" i="32"/>
  <c r="M52"/>
  <c r="AX49" i="18"/>
  <c r="C49" i="58"/>
  <c r="C40" i="44"/>
  <c r="I40" i="31"/>
  <c r="H35" i="30"/>
  <c r="L35"/>
  <c r="P36" i="32"/>
  <c r="D34" i="48"/>
  <c r="C34" i="44"/>
  <c r="D34" i="58"/>
  <c r="F34"/>
  <c r="AY32" i="18"/>
  <c r="AW32"/>
  <c r="C32" i="44"/>
  <c r="C32" i="58"/>
  <c r="P34" i="32"/>
  <c r="Y34" s="1"/>
  <c r="AB34" s="1"/>
  <c r="H33" i="30"/>
  <c r="L33" s="1"/>
  <c r="D32" i="48"/>
  <c r="C31" i="32"/>
  <c r="L31"/>
  <c r="AX27" i="18"/>
  <c r="C29" i="32"/>
  <c r="C28" i="30"/>
  <c r="G28"/>
  <c r="AX23" i="18"/>
  <c r="AW23"/>
  <c r="C23" i="44"/>
  <c r="C25" i="32"/>
  <c r="I23" i="31"/>
  <c r="C24" i="30"/>
  <c r="G24"/>
  <c r="D23" i="58"/>
  <c r="AX21" i="18"/>
  <c r="I21" i="31"/>
  <c r="D21" i="48"/>
  <c r="C22" i="30"/>
  <c r="B23" i="63"/>
  <c r="D23"/>
  <c r="D21" i="58"/>
  <c r="C23" i="32"/>
  <c r="C21" i="58"/>
  <c r="AY10" i="18"/>
  <c r="AY50" s="1"/>
  <c r="H11" i="30"/>
  <c r="L11" s="1"/>
  <c r="D10" i="58"/>
  <c r="G10" s="1"/>
  <c r="P12" i="32"/>
  <c r="AA12" s="1"/>
  <c r="C10" i="44"/>
  <c r="G24" i="31"/>
  <c r="F24" i="33"/>
  <c r="G24" i="48"/>
  <c r="F45" i="31"/>
  <c r="E45" i="44"/>
  <c r="H45" i="33"/>
  <c r="F41" i="31"/>
  <c r="E41" i="44"/>
  <c r="H41" i="33"/>
  <c r="F37" i="31"/>
  <c r="E37" i="44"/>
  <c r="H37" i="33"/>
  <c r="F37" i="48"/>
  <c r="F33" i="31"/>
  <c r="E33" i="44"/>
  <c r="H33" i="33"/>
  <c r="F29" i="31"/>
  <c r="E29" i="44"/>
  <c r="H29" i="33"/>
  <c r="F25" i="31"/>
  <c r="E25" i="44"/>
  <c r="H25" i="33"/>
  <c r="F21" i="31"/>
  <c r="H21"/>
  <c r="J21" s="1"/>
  <c r="E21" i="44"/>
  <c r="H21" i="33"/>
  <c r="F21" i="48"/>
  <c r="H17" i="33"/>
  <c r="F17" i="48"/>
  <c r="F17" i="31"/>
  <c r="F10" i="48"/>
  <c r="H10" i="33"/>
  <c r="E10" i="44"/>
  <c r="G10" s="1"/>
  <c r="F10" i="31"/>
  <c r="F6" i="48"/>
  <c r="H6" i="33"/>
  <c r="E6" i="44"/>
  <c r="E11" i="31"/>
  <c r="F27" i="33"/>
  <c r="G30" i="48"/>
  <c r="G38"/>
  <c r="E23" i="33"/>
  <c r="F33" i="48"/>
  <c r="F45"/>
  <c r="D23"/>
  <c r="F19" i="58"/>
  <c r="G19"/>
  <c r="H19"/>
  <c r="G30" i="31"/>
  <c r="D32" i="58"/>
  <c r="H32" s="1"/>
  <c r="C42" i="32"/>
  <c r="L42"/>
  <c r="O42" s="1"/>
  <c r="H39" i="30"/>
  <c r="L39" s="1"/>
  <c r="C38" i="44"/>
  <c r="D38" i="58"/>
  <c r="F38" s="1"/>
  <c r="D37"/>
  <c r="G37" s="1"/>
  <c r="C38" i="30"/>
  <c r="G38" s="1"/>
  <c r="C39" i="32"/>
  <c r="L39" s="1"/>
  <c r="E7" i="31"/>
  <c r="E7" i="33"/>
  <c r="E9" i="31"/>
  <c r="E9" i="33"/>
  <c r="E13" i="31"/>
  <c r="H13" s="1"/>
  <c r="J13" s="1"/>
  <c r="E13" i="33"/>
  <c r="G13"/>
  <c r="I13" s="1"/>
  <c r="E19" i="31"/>
  <c r="E19" i="33"/>
  <c r="E31" i="31"/>
  <c r="E31" i="33"/>
  <c r="E39"/>
  <c r="G39" s="1"/>
  <c r="I39" s="1"/>
  <c r="E39" i="31"/>
  <c r="E43"/>
  <c r="E43" i="33"/>
  <c r="E49" i="31"/>
  <c r="E49" i="33"/>
  <c r="G49"/>
  <c r="I49" s="1"/>
  <c r="I45" i="31"/>
  <c r="AU50" i="18"/>
  <c r="Z38" i="32"/>
  <c r="AV50" i="18"/>
  <c r="C47" i="58"/>
  <c r="E8" i="31"/>
  <c r="E8" i="33"/>
  <c r="E12" i="31"/>
  <c r="E12" i="33"/>
  <c r="E32" i="31"/>
  <c r="H32"/>
  <c r="J32" s="1"/>
  <c r="E32" i="33"/>
  <c r="E40" i="31"/>
  <c r="E40" i="33"/>
  <c r="G40" s="1"/>
  <c r="I40"/>
  <c r="E42"/>
  <c r="E42" i="31"/>
  <c r="H42" s="1"/>
  <c r="J42" s="1"/>
  <c r="E26"/>
  <c r="V51" i="7"/>
  <c r="E10" i="33"/>
  <c r="E24"/>
  <c r="G24" s="1"/>
  <c r="C48" i="30"/>
  <c r="G48"/>
  <c r="H47"/>
  <c r="L47"/>
  <c r="C46" i="58"/>
  <c r="C44" i="44"/>
  <c r="C44" i="58"/>
  <c r="H45" i="30"/>
  <c r="L45" s="1"/>
  <c r="I44" i="31"/>
  <c r="AY33" i="18"/>
  <c r="P35" i="32"/>
  <c r="AA35" s="1"/>
  <c r="Y35"/>
  <c r="AB35" s="1"/>
  <c r="H34" i="30"/>
  <c r="L34" s="1"/>
  <c r="C33" i="44"/>
  <c r="I33" i="31"/>
  <c r="H32" i="30"/>
  <c r="L32"/>
  <c r="I31" i="31"/>
  <c r="AX30" i="18"/>
  <c r="AW30"/>
  <c r="C31" i="30"/>
  <c r="G31" s="1"/>
  <c r="C32" i="32"/>
  <c r="L32" s="1"/>
  <c r="O32"/>
  <c r="AX28" i="18"/>
  <c r="C28" i="44"/>
  <c r="I28" i="31"/>
  <c r="C24" i="44"/>
  <c r="C26" i="32"/>
  <c r="C25" i="30"/>
  <c r="G25"/>
  <c r="C24" i="58"/>
  <c r="AX22" i="18"/>
  <c r="D22" i="48"/>
  <c r="K22"/>
  <c r="C24" i="32"/>
  <c r="L24" s="1"/>
  <c r="O24" s="1"/>
  <c r="D22" i="58"/>
  <c r="H22"/>
  <c r="C22" i="44"/>
  <c r="C22" i="58"/>
  <c r="G44" i="31"/>
  <c r="H44"/>
  <c r="J44" s="1"/>
  <c r="F44" i="33"/>
  <c r="G40" i="31"/>
  <c r="H40"/>
  <c r="J40" s="1"/>
  <c r="F40" i="33"/>
  <c r="G19" i="31"/>
  <c r="G19" i="48"/>
  <c r="F47" i="31"/>
  <c r="E47" i="44"/>
  <c r="F43" i="31"/>
  <c r="E43" i="44"/>
  <c r="F39" i="31"/>
  <c r="E39" i="44"/>
  <c r="F35" i="31"/>
  <c r="H35" s="1"/>
  <c r="J35" s="1"/>
  <c r="E35" i="44"/>
  <c r="F31" i="31"/>
  <c r="E31" i="44"/>
  <c r="F27" i="31"/>
  <c r="H27"/>
  <c r="E27" i="44"/>
  <c r="F23" i="31"/>
  <c r="E23" i="44"/>
  <c r="F19" i="31"/>
  <c r="E19" i="44"/>
  <c r="F12" i="48"/>
  <c r="H12" i="33"/>
  <c r="H8"/>
  <c r="F8" i="48"/>
  <c r="J8" s="1"/>
  <c r="E30" i="33"/>
  <c r="F10" i="30"/>
  <c r="O50" i="4"/>
  <c r="C47" i="64"/>
  <c r="H47"/>
  <c r="J31" i="58"/>
  <c r="Q31"/>
  <c r="T31"/>
  <c r="R31"/>
  <c r="L31"/>
  <c r="M31" s="1"/>
  <c r="O31"/>
  <c r="P49" i="32"/>
  <c r="AY42" i="18"/>
  <c r="H43" i="30"/>
  <c r="L43" s="1"/>
  <c r="L30" i="58"/>
  <c r="T51" i="8"/>
  <c r="C178" i="47"/>
  <c r="P44" i="32"/>
  <c r="L36" i="58"/>
  <c r="A1" i="30"/>
  <c r="A1" i="45"/>
  <c r="A1" i="29"/>
  <c r="A1" i="35"/>
  <c r="A1" i="14"/>
  <c r="A1" i="44"/>
  <c r="A1" i="33"/>
  <c r="A1" i="32"/>
  <c r="A1" i="31"/>
  <c r="A1" i="58"/>
  <c r="AY48" i="18"/>
  <c r="AW48" s="1"/>
  <c r="P50" i="32"/>
  <c r="Y50" s="1"/>
  <c r="H19" i="48"/>
  <c r="F8" i="58"/>
  <c r="K19" i="15"/>
  <c r="N40" i="32"/>
  <c r="Y33" i="6"/>
  <c r="W50" i="43"/>
  <c r="Y48" i="6"/>
  <c r="X48" i="14"/>
  <c r="AZ48" i="18"/>
  <c r="W49" i="7"/>
  <c r="Q48" i="4"/>
  <c r="U49" i="8"/>
  <c r="AC48" i="5"/>
  <c r="S48" i="20"/>
  <c r="K48" i="15"/>
  <c r="Q18" i="4"/>
  <c r="K18" i="15"/>
  <c r="W20" i="43"/>
  <c r="W19" i="7"/>
  <c r="S18" i="20"/>
  <c r="AC30" i="5"/>
  <c r="W32" i="43"/>
  <c r="Q42" i="4"/>
  <c r="K42" i="15"/>
  <c r="AC42" i="5"/>
  <c r="W44" i="43"/>
  <c r="AZ42" i="18"/>
  <c r="X42" i="14"/>
  <c r="Y42" i="6"/>
  <c r="U43" i="8"/>
  <c r="W43" i="7"/>
  <c r="S42" i="20"/>
  <c r="Y32" i="6"/>
  <c r="Q32" i="4"/>
  <c r="K32" i="15"/>
  <c r="K21"/>
  <c r="W23" i="43"/>
  <c r="W22" i="7"/>
  <c r="AZ21" i="18"/>
  <c r="Q21" i="4"/>
  <c r="K37" i="15"/>
  <c r="W39" i="43"/>
  <c r="W38" i="7"/>
  <c r="AZ37" i="18"/>
  <c r="S37" i="20"/>
  <c r="Y11" i="32"/>
  <c r="AB11" s="1"/>
  <c r="AZ11" i="18"/>
  <c r="K11" i="15"/>
  <c r="AC11" i="5"/>
  <c r="K14" i="15"/>
  <c r="W15" i="7"/>
  <c r="W38" i="43"/>
  <c r="X36" i="14"/>
  <c r="W37" i="7"/>
  <c r="K36" i="15"/>
  <c r="Q36" i="4"/>
  <c r="W8" i="43"/>
  <c r="Y6" i="6"/>
  <c r="X25" i="14"/>
  <c r="K25" i="15"/>
  <c r="AC25" i="5"/>
  <c r="W27" i="43"/>
  <c r="Y25" i="6"/>
  <c r="AZ25" i="18"/>
  <c r="Q25" i="4"/>
  <c r="U26" i="8"/>
  <c r="W26" i="7"/>
  <c r="S25" i="20"/>
  <c r="L13" i="32"/>
  <c r="O13" s="1"/>
  <c r="N13"/>
  <c r="W42" i="43"/>
  <c r="W41" i="7"/>
  <c r="S40" i="20"/>
  <c r="Y30" i="32"/>
  <c r="AB30" s="1"/>
  <c r="AA30"/>
  <c r="Y16" i="6"/>
  <c r="AZ16" i="18"/>
  <c r="Q16" i="4"/>
  <c r="S16" i="20"/>
  <c r="U17" i="8"/>
  <c r="AZ23" i="18"/>
  <c r="Q23" i="4"/>
  <c r="AC23" i="5"/>
  <c r="Y23" i="6"/>
  <c r="U24" i="8"/>
  <c r="X17" i="14"/>
  <c r="K17" i="15"/>
  <c r="AC17" i="5"/>
  <c r="W19" i="43"/>
  <c r="Y17" i="6"/>
  <c r="AZ17" i="18"/>
  <c r="Q17" i="4"/>
  <c r="W18" i="7"/>
  <c r="S17" i="20"/>
  <c r="U18" i="8"/>
  <c r="AA38" i="32"/>
  <c r="Y38"/>
  <c r="AB38" s="1"/>
  <c r="G10" i="30"/>
  <c r="H9" i="58"/>
  <c r="F48"/>
  <c r="L50" i="32"/>
  <c r="O50" s="1"/>
  <c r="N50"/>
  <c r="G36" i="58"/>
  <c r="L38" i="32"/>
  <c r="O38"/>
  <c r="O16"/>
  <c r="N8"/>
  <c r="L8"/>
  <c r="O8" s="1"/>
  <c r="N42"/>
  <c r="L25"/>
  <c r="O25" s="1"/>
  <c r="N25"/>
  <c r="Y36"/>
  <c r="AB36" s="1"/>
  <c r="AA36"/>
  <c r="F22" i="58"/>
  <c r="Z52" i="32"/>
  <c r="O39"/>
  <c r="F32" i="58"/>
  <c r="G32"/>
  <c r="L29" i="32"/>
  <c r="O29" s="1"/>
  <c r="N29"/>
  <c r="AA44"/>
  <c r="AB44"/>
  <c r="C183" i="47"/>
  <c r="N31" i="32"/>
  <c r="O31"/>
  <c r="H38" i="58"/>
  <c r="G38"/>
  <c r="Y12" i="32"/>
  <c r="AB12" s="1"/>
  <c r="G22" i="30"/>
  <c r="AA34" i="32"/>
  <c r="AA16"/>
  <c r="Y16"/>
  <c r="AB16"/>
  <c r="G28" i="33"/>
  <c r="I28" s="1"/>
  <c r="H17" i="48"/>
  <c r="D11" i="73"/>
  <c r="I6"/>
  <c r="I7"/>
  <c r="I9"/>
  <c r="I10"/>
  <c r="L10"/>
  <c r="L8"/>
  <c r="K6"/>
  <c r="L6"/>
  <c r="D33" i="48"/>
  <c r="D35" i="58"/>
  <c r="G35" s="1"/>
  <c r="C46" i="30"/>
  <c r="G46" s="1"/>
  <c r="C47" i="32"/>
  <c r="L47"/>
  <c r="O47" s="1"/>
  <c r="H20" i="30"/>
  <c r="L20" s="1"/>
  <c r="H28"/>
  <c r="L28"/>
  <c r="A1" i="73"/>
  <c r="D19" i="31"/>
  <c r="H19"/>
  <c r="J19" s="1"/>
  <c r="E6" i="33"/>
  <c r="N35" i="32"/>
  <c r="L35"/>
  <c r="O35" s="1"/>
  <c r="G15" i="58"/>
  <c r="AX10" i="18"/>
  <c r="AW10" s="1"/>
  <c r="C11" i="30"/>
  <c r="G11"/>
  <c r="C12" i="32"/>
  <c r="N12" s="1"/>
  <c r="C10" i="58"/>
  <c r="G49" i="48"/>
  <c r="G49" i="31"/>
  <c r="H49"/>
  <c r="J49" s="1"/>
  <c r="G46" i="48"/>
  <c r="F46" i="33"/>
  <c r="G28" i="48"/>
  <c r="G28" i="31"/>
  <c r="G23"/>
  <c r="G23" i="48"/>
  <c r="J23" s="1"/>
  <c r="G20"/>
  <c r="G20" i="31"/>
  <c r="G17" i="48"/>
  <c r="G17" i="31"/>
  <c r="H17"/>
  <c r="J17" s="1"/>
  <c r="G15"/>
  <c r="G15" i="48"/>
  <c r="G13" i="31"/>
  <c r="F13" i="33"/>
  <c r="G13" i="48"/>
  <c r="G9"/>
  <c r="G9" i="31"/>
  <c r="F9" i="33"/>
  <c r="G7" i="31"/>
  <c r="F7" i="33"/>
  <c r="F15" i="48"/>
  <c r="F15" i="31"/>
  <c r="H15" i="33"/>
  <c r="E15" i="64"/>
  <c r="F17" i="33"/>
  <c r="G17"/>
  <c r="I17"/>
  <c r="D46" i="58"/>
  <c r="I46" i="31"/>
  <c r="AX35" i="18"/>
  <c r="AW35" s="1"/>
  <c r="C35" i="58"/>
  <c r="AY27" i="18"/>
  <c r="AW27"/>
  <c r="P29" i="32"/>
  <c r="AA29" s="1"/>
  <c r="D26" i="58"/>
  <c r="F26"/>
  <c r="P28" i="32"/>
  <c r="AA28" s="1"/>
  <c r="C25" i="44"/>
  <c r="G25" s="1"/>
  <c r="C27" i="32"/>
  <c r="N27" s="1"/>
  <c r="C25" i="58"/>
  <c r="D25" i="48"/>
  <c r="C26" i="30"/>
  <c r="AY20" i="18"/>
  <c r="AW20"/>
  <c r="H21" i="30"/>
  <c r="L21"/>
  <c r="AY19" i="18"/>
  <c r="P21" i="32"/>
  <c r="Y21"/>
  <c r="AB21"/>
  <c r="C19" i="58"/>
  <c r="C18" i="44"/>
  <c r="G18" s="1"/>
  <c r="D18" i="58"/>
  <c r="G18"/>
  <c r="C17"/>
  <c r="D17"/>
  <c r="F17"/>
  <c r="P50" i="4"/>
  <c r="C182" i="47"/>
  <c r="L38" i="30"/>
  <c r="N27" i="2"/>
  <c r="Y27" i="6"/>
  <c r="AY22" i="18"/>
  <c r="P24" i="32"/>
  <c r="G43" i="31"/>
  <c r="H43"/>
  <c r="F43" i="33"/>
  <c r="G29" i="48"/>
  <c r="G14"/>
  <c r="G6" i="31"/>
  <c r="D6" i="33"/>
  <c r="D8" i="44"/>
  <c r="D10" i="33"/>
  <c r="D12" i="31"/>
  <c r="H13" i="48"/>
  <c r="D48" i="44"/>
  <c r="AA21" i="32"/>
  <c r="L12"/>
  <c r="O12" s="1"/>
  <c r="Y24"/>
  <c r="AB24" s="1"/>
  <c r="AA24"/>
  <c r="S27" i="20"/>
  <c r="AW19" i="18"/>
  <c r="D21" i="35"/>
  <c r="F15" i="64"/>
  <c r="C36"/>
  <c r="C36" i="45"/>
  <c r="E36"/>
  <c r="C33" i="64"/>
  <c r="C33" i="45"/>
  <c r="C25"/>
  <c r="E25" s="1"/>
  <c r="C25" i="64"/>
  <c r="I25" s="1"/>
  <c r="C22"/>
  <c r="H22"/>
  <c r="C22" i="45"/>
  <c r="H20" i="64"/>
  <c r="I20"/>
  <c r="C7"/>
  <c r="I7"/>
  <c r="J7" s="1"/>
  <c r="C7" i="45"/>
  <c r="I47" i="64"/>
  <c r="H31"/>
  <c r="I31"/>
  <c r="C32"/>
  <c r="C32" i="45"/>
  <c r="C21"/>
  <c r="E21"/>
  <c r="C21" i="64"/>
  <c r="C9"/>
  <c r="C9" i="45"/>
  <c r="C14"/>
  <c r="D50" i="14"/>
  <c r="W6"/>
  <c r="C6" i="64"/>
  <c r="H6" s="1"/>
  <c r="H43" i="29"/>
  <c r="G43"/>
  <c r="H33"/>
  <c r="E50" i="15"/>
  <c r="Q23" i="58"/>
  <c r="L23"/>
  <c r="N36"/>
  <c r="T23"/>
  <c r="C23" i="29"/>
  <c r="E23" s="1"/>
  <c r="I23" s="1"/>
  <c r="C19"/>
  <c r="E19" s="1"/>
  <c r="I19" s="1"/>
  <c r="D47" i="45"/>
  <c r="D45"/>
  <c r="D43"/>
  <c r="D39"/>
  <c r="E39" s="1"/>
  <c r="D37"/>
  <c r="E37" s="1"/>
  <c r="D35"/>
  <c r="E35" s="1"/>
  <c r="D31"/>
  <c r="D19"/>
  <c r="D13"/>
  <c r="D11"/>
  <c r="D9"/>
  <c r="E9"/>
  <c r="C7" i="29"/>
  <c r="E7"/>
  <c r="I7" s="1"/>
  <c r="E7" i="58"/>
  <c r="C15" i="29"/>
  <c r="E15"/>
  <c r="I15" s="1"/>
  <c r="E15" i="58"/>
  <c r="C17" i="29"/>
  <c r="E17"/>
  <c r="I17" s="1"/>
  <c r="E17" i="58"/>
  <c r="O17" s="1"/>
  <c r="J17"/>
  <c r="C21" i="29"/>
  <c r="E21" s="1"/>
  <c r="E21" i="58"/>
  <c r="C25" i="29"/>
  <c r="E25"/>
  <c r="E25" i="58"/>
  <c r="N25" s="1"/>
  <c r="I25"/>
  <c r="C29" i="29"/>
  <c r="E29" s="1"/>
  <c r="G29" s="1"/>
  <c r="E29" i="58"/>
  <c r="D49" i="45"/>
  <c r="F49" i="44"/>
  <c r="E49" i="58"/>
  <c r="I49" s="1"/>
  <c r="K19" i="48"/>
  <c r="V8" i="43"/>
  <c r="C8" i="48"/>
  <c r="C12"/>
  <c r="C14"/>
  <c r="J14" s="1"/>
  <c r="C18"/>
  <c r="C20"/>
  <c r="C36"/>
  <c r="J36" s="1"/>
  <c r="C42"/>
  <c r="J42" s="1"/>
  <c r="C44"/>
  <c r="C46"/>
  <c r="C7"/>
  <c r="C10"/>
  <c r="C17"/>
  <c r="C28"/>
  <c r="C33"/>
  <c r="K33" s="1"/>
  <c r="C41"/>
  <c r="C49"/>
  <c r="J49" s="1"/>
  <c r="C48"/>
  <c r="K48"/>
  <c r="AW43" i="18"/>
  <c r="G17" i="58"/>
  <c r="X15" i="14"/>
  <c r="C50" i="30"/>
  <c r="G50" s="1"/>
  <c r="Y45" i="32"/>
  <c r="AB45" s="1"/>
  <c r="K33" i="15"/>
  <c r="AZ33" i="18"/>
  <c r="C43" i="58"/>
  <c r="N41" i="2"/>
  <c r="G42" i="58"/>
  <c r="H8"/>
  <c r="U16" i="8"/>
  <c r="K15" i="15"/>
  <c r="W20" i="7"/>
  <c r="S19" i="20"/>
  <c r="Y19" i="6"/>
  <c r="H16" i="58"/>
  <c r="O41" i="32"/>
  <c r="N41"/>
  <c r="N49" i="2"/>
  <c r="Y49" i="6"/>
  <c r="C51" i="32"/>
  <c r="I49" i="31"/>
  <c r="C49" i="44"/>
  <c r="D49" i="48"/>
  <c r="C49" i="32"/>
  <c r="N49" s="1"/>
  <c r="D47" i="48"/>
  <c r="AX47" i="18"/>
  <c r="AX46"/>
  <c r="C47" i="30"/>
  <c r="G47" s="1"/>
  <c r="C46" i="44"/>
  <c r="D45" i="58"/>
  <c r="G45" s="1"/>
  <c r="N45" i="2"/>
  <c r="X45" i="14"/>
  <c r="D43" i="48"/>
  <c r="AX41" i="18"/>
  <c r="C42" i="30"/>
  <c r="G42" s="1"/>
  <c r="C41" i="44"/>
  <c r="C43" i="32"/>
  <c r="N43" s="1"/>
  <c r="P41"/>
  <c r="AA41" s="1"/>
  <c r="H40" i="30"/>
  <c r="L40" s="1"/>
  <c r="I39" i="31"/>
  <c r="D39" i="48"/>
  <c r="N38" i="2"/>
  <c r="C38" i="58"/>
  <c r="D38" i="48"/>
  <c r="AY38" i="18"/>
  <c r="I38" i="31"/>
  <c r="P40" i="32"/>
  <c r="AA40"/>
  <c r="AX37" i="18"/>
  <c r="AW37" s="1"/>
  <c r="C37" i="44"/>
  <c r="G37" s="1"/>
  <c r="C37" i="58"/>
  <c r="I37" i="31"/>
  <c r="C36" i="30"/>
  <c r="G36" s="1"/>
  <c r="C37" i="32"/>
  <c r="N37" s="1"/>
  <c r="I35" i="31"/>
  <c r="N35" i="2"/>
  <c r="K35" i="15"/>
  <c r="C30" i="30"/>
  <c r="G30"/>
  <c r="D27" i="48"/>
  <c r="I26" i="31"/>
  <c r="C26" i="58"/>
  <c r="N24" i="2"/>
  <c r="Y24" i="6"/>
  <c r="P26" i="32"/>
  <c r="AY24" i="18"/>
  <c r="AW24" s="1"/>
  <c r="H25" i="30"/>
  <c r="L25" s="1"/>
  <c r="D24" i="58"/>
  <c r="G24" s="1"/>
  <c r="I24" i="31"/>
  <c r="H9" i="30"/>
  <c r="L9" s="1"/>
  <c r="P10" i="32"/>
  <c r="AA10" s="1"/>
  <c r="AX7" i="18"/>
  <c r="AW7" s="1"/>
  <c r="N7" i="2"/>
  <c r="AC7" i="5"/>
  <c r="C8" i="30"/>
  <c r="D7" i="58"/>
  <c r="H7" s="1"/>
  <c r="C9" i="32"/>
  <c r="N9" s="1"/>
  <c r="C6" i="44"/>
  <c r="G6" s="1"/>
  <c r="C6" i="58"/>
  <c r="D6"/>
  <c r="F6" s="1"/>
  <c r="AX6" i="18"/>
  <c r="P14" i="32"/>
  <c r="AA14" s="1"/>
  <c r="H13" i="30"/>
  <c r="L13" s="1"/>
  <c r="AY12" i="18"/>
  <c r="N12" i="2"/>
  <c r="AZ12" i="18"/>
  <c r="D12" i="48"/>
  <c r="AX8" i="18"/>
  <c r="AW8"/>
  <c r="C9" i="30"/>
  <c r="D8" i="48"/>
  <c r="C8" i="44"/>
  <c r="I8" i="31"/>
  <c r="N8" i="2"/>
  <c r="N10"/>
  <c r="AZ10" i="18"/>
  <c r="D10" i="48"/>
  <c r="J10" s="1"/>
  <c r="I10" i="31"/>
  <c r="C21" i="44"/>
  <c r="B9" i="63"/>
  <c r="D9" s="1"/>
  <c r="B16"/>
  <c r="D16" s="1"/>
  <c r="C30" i="32"/>
  <c r="N30" s="1"/>
  <c r="C29" i="30"/>
  <c r="G29" s="1"/>
  <c r="D28" i="48"/>
  <c r="K28" s="1"/>
  <c r="D28" i="58"/>
  <c r="H28" s="1"/>
  <c r="C28"/>
  <c r="N28" i="2"/>
  <c r="C30" i="58"/>
  <c r="C30" i="44"/>
  <c r="I30" i="31"/>
  <c r="P33" i="32"/>
  <c r="Y33" s="1"/>
  <c r="AB33" s="1"/>
  <c r="C31" i="58"/>
  <c r="C31" i="44"/>
  <c r="N31" i="2"/>
  <c r="X31" i="14"/>
  <c r="AY31" i="18"/>
  <c r="AW31"/>
  <c r="D31" i="58"/>
  <c r="D31" i="48"/>
  <c r="K31" s="1"/>
  <c r="AX40" i="18"/>
  <c r="D40" i="58"/>
  <c r="G40"/>
  <c r="C41" i="30"/>
  <c r="G41" s="1"/>
  <c r="Y39" i="32"/>
  <c r="AB39" s="1"/>
  <c r="AA39"/>
  <c r="L33"/>
  <c r="O33" s="1"/>
  <c r="AY49" i="18"/>
  <c r="H50" i="30"/>
  <c r="L50" s="1"/>
  <c r="I11" i="31"/>
  <c r="AX11" i="18"/>
  <c r="N47" i="2"/>
  <c r="AZ47" i="18"/>
  <c r="C7" i="44"/>
  <c r="G46" i="58"/>
  <c r="X27" i="14"/>
  <c r="AC12" i="5"/>
  <c r="I25" i="31"/>
  <c r="AX45" i="18"/>
  <c r="C45" i="58"/>
  <c r="AY11" i="18"/>
  <c r="H12" i="30"/>
  <c r="L12" s="1"/>
  <c r="D11" i="58"/>
  <c r="H11" s="1"/>
  <c r="C11"/>
  <c r="C11" i="44"/>
  <c r="H33" i="58"/>
  <c r="G33"/>
  <c r="Y51" i="32"/>
  <c r="AB51" s="1"/>
  <c r="AA51"/>
  <c r="L34"/>
  <c r="O34"/>
  <c r="N34"/>
  <c r="P48"/>
  <c r="AA48"/>
  <c r="D41" i="58"/>
  <c r="F41" s="1"/>
  <c r="I41" i="31"/>
  <c r="P43" i="32"/>
  <c r="AA43" s="1"/>
  <c r="C41" i="58"/>
  <c r="AY41" i="18"/>
  <c r="AW41" s="1"/>
  <c r="C40" i="58"/>
  <c r="C35" i="44"/>
  <c r="C22" i="32"/>
  <c r="L22" s="1"/>
  <c r="H19" i="30"/>
  <c r="L19"/>
  <c r="N9" i="2"/>
  <c r="U10" i="8"/>
  <c r="C9" i="58"/>
  <c r="AY9" i="18"/>
  <c r="AW9" s="1"/>
  <c r="AY15"/>
  <c r="AW15" s="1"/>
  <c r="P17" i="32"/>
  <c r="AA17"/>
  <c r="AY21" i="18"/>
  <c r="P23" i="32"/>
  <c r="AA23" s="1"/>
  <c r="H22" i="30"/>
  <c r="L22" s="1"/>
  <c r="I6" i="31"/>
  <c r="D15" i="48"/>
  <c r="C10" i="32"/>
  <c r="L10" s="1"/>
  <c r="H15" i="30"/>
  <c r="L15"/>
  <c r="D6" i="48"/>
  <c r="C14" i="32"/>
  <c r="L14" s="1"/>
  <c r="O14" s="1"/>
  <c r="D12" i="58"/>
  <c r="H12" s="1"/>
  <c r="F12"/>
  <c r="C17" i="32"/>
  <c r="H24" i="30"/>
  <c r="L24"/>
  <c r="P25" i="32"/>
  <c r="Y25" s="1"/>
  <c r="G50" i="2"/>
  <c r="C50"/>
  <c r="AX12" i="18"/>
  <c r="AW12"/>
  <c r="D11" i="48"/>
  <c r="C46" i="31"/>
  <c r="C42"/>
  <c r="C38"/>
  <c r="H38" s="1"/>
  <c r="J38" s="1"/>
  <c r="C34"/>
  <c r="H34" s="1"/>
  <c r="J34" s="1"/>
  <c r="C30"/>
  <c r="C26"/>
  <c r="H26" s="1"/>
  <c r="J26"/>
  <c r="C22"/>
  <c r="H22" s="1"/>
  <c r="J22"/>
  <c r="C18"/>
  <c r="H18" s="1"/>
  <c r="C11"/>
  <c r="C7"/>
  <c r="C47" i="33"/>
  <c r="G47"/>
  <c r="I47" s="1"/>
  <c r="C43"/>
  <c r="G43" s="1"/>
  <c r="C39"/>
  <c r="C35"/>
  <c r="G35"/>
  <c r="I35" s="1"/>
  <c r="C31"/>
  <c r="G31"/>
  <c r="I31"/>
  <c r="C27"/>
  <c r="G27"/>
  <c r="C23"/>
  <c r="G23" s="1"/>
  <c r="I23" s="1"/>
  <c r="C19"/>
  <c r="G19"/>
  <c r="C48"/>
  <c r="G48" s="1"/>
  <c r="I48" s="1"/>
  <c r="C6"/>
  <c r="C50" s="1"/>
  <c r="C6" i="31"/>
  <c r="C8" i="33"/>
  <c r="C8" i="31"/>
  <c r="H8"/>
  <c r="C10" i="33"/>
  <c r="G10"/>
  <c r="I10" s="1"/>
  <c r="C10" i="31"/>
  <c r="H10" s="1"/>
  <c r="J10" s="1"/>
  <c r="C12" i="33"/>
  <c r="C12" i="31"/>
  <c r="H12"/>
  <c r="J12" s="1"/>
  <c r="C14"/>
  <c r="H14"/>
  <c r="J14"/>
  <c r="C14" i="33"/>
  <c r="G14"/>
  <c r="I14" s="1"/>
  <c r="AL6" i="2"/>
  <c r="AI6" i="15"/>
  <c r="F9" i="64"/>
  <c r="E9"/>
  <c r="E21"/>
  <c r="E22"/>
  <c r="H33"/>
  <c r="I33"/>
  <c r="F36"/>
  <c r="F32"/>
  <c r="I32"/>
  <c r="H32"/>
  <c r="E32"/>
  <c r="F7"/>
  <c r="F25"/>
  <c r="H25"/>
  <c r="E25"/>
  <c r="T25" i="58"/>
  <c r="P25"/>
  <c r="Q25"/>
  <c r="R25"/>
  <c r="L25"/>
  <c r="O25"/>
  <c r="J25"/>
  <c r="T17"/>
  <c r="L15"/>
  <c r="N15"/>
  <c r="R15"/>
  <c r="R7"/>
  <c r="N7"/>
  <c r="L7"/>
  <c r="Q7"/>
  <c r="P49"/>
  <c r="L49"/>
  <c r="K36" i="48"/>
  <c r="L36" s="1"/>
  <c r="J18"/>
  <c r="AC47" i="5"/>
  <c r="X47" i="14"/>
  <c r="K10" i="15"/>
  <c r="AC10" i="5"/>
  <c r="U11" i="8"/>
  <c r="Q10" i="4"/>
  <c r="W12" i="43"/>
  <c r="U13" i="8"/>
  <c r="S12" i="20"/>
  <c r="L9" i="32"/>
  <c r="O9" s="1"/>
  <c r="G8" i="30"/>
  <c r="W26" i="43"/>
  <c r="X24" i="14"/>
  <c r="W36" i="7"/>
  <c r="X35" i="14"/>
  <c r="U36" i="8"/>
  <c r="Q35" i="4"/>
  <c r="W37" i="43"/>
  <c r="L37" i="32"/>
  <c r="O37"/>
  <c r="Y40"/>
  <c r="AB40"/>
  <c r="Y41"/>
  <c r="AB41" s="1"/>
  <c r="L43"/>
  <c r="O43" s="1"/>
  <c r="X49" i="14"/>
  <c r="K49" i="15"/>
  <c r="S49" i="20"/>
  <c r="W51" i="43"/>
  <c r="Q49" i="4"/>
  <c r="K41" i="15"/>
  <c r="W43" i="43"/>
  <c r="AZ41" i="18"/>
  <c r="U42" i="8"/>
  <c r="S41" i="20"/>
  <c r="X41" i="14"/>
  <c r="Y41" i="6"/>
  <c r="W42" i="7"/>
  <c r="AC41" i="5"/>
  <c r="Q41" i="4"/>
  <c r="F40" i="58"/>
  <c r="G31"/>
  <c r="F31"/>
  <c r="H31"/>
  <c r="W32" i="7"/>
  <c r="S31" i="20"/>
  <c r="U32" i="8"/>
  <c r="K31" i="15"/>
  <c r="AC31" i="5"/>
  <c r="Y28" i="6"/>
  <c r="AZ28" i="18"/>
  <c r="U29" i="8"/>
  <c r="S28" i="20"/>
  <c r="AC28" i="5"/>
  <c r="W30" i="43"/>
  <c r="X28" i="14"/>
  <c r="W29" i="7"/>
  <c r="K28" i="15"/>
  <c r="Q28" i="4"/>
  <c r="F28" i="58"/>
  <c r="K8" i="15"/>
  <c r="AZ8" i="18"/>
  <c r="AC8" i="5"/>
  <c r="W9" i="7"/>
  <c r="S8" i="20"/>
  <c r="W10" i="43"/>
  <c r="Y8" i="6"/>
  <c r="X8" i="14"/>
  <c r="Q8" i="4"/>
  <c r="U9" i="8"/>
  <c r="Y14" i="32"/>
  <c r="AB14" s="1"/>
  <c r="G6" i="58"/>
  <c r="G7"/>
  <c r="U8" i="8"/>
  <c r="AZ7" i="18"/>
  <c r="W8" i="7"/>
  <c r="K7" i="15"/>
  <c r="X7" i="14"/>
  <c r="Y10" i="32"/>
  <c r="AB10"/>
  <c r="Q38" i="4"/>
  <c r="AC38" i="5"/>
  <c r="W40" i="43"/>
  <c r="W39" i="7"/>
  <c r="AZ38" i="18"/>
  <c r="K38" i="15"/>
  <c r="Y38" i="6"/>
  <c r="X38" i="14"/>
  <c r="S38" i="20"/>
  <c r="U39" i="8"/>
  <c r="AC45" i="5"/>
  <c r="AZ45" i="18"/>
  <c r="K45" i="15"/>
  <c r="W46" i="7"/>
  <c r="S45" i="20"/>
  <c r="H45" i="58"/>
  <c r="L49" i="32"/>
  <c r="O49"/>
  <c r="L51"/>
  <c r="O51" s="1"/>
  <c r="N51"/>
  <c r="AB25"/>
  <c r="N14"/>
  <c r="G11" i="58"/>
  <c r="F11"/>
  <c r="N10" i="32"/>
  <c r="Y17"/>
  <c r="AB17" s="1"/>
  <c r="X9" i="14"/>
  <c r="K9" i="15"/>
  <c r="S9" i="20"/>
  <c r="W10" i="7"/>
  <c r="Y9" i="6"/>
  <c r="Y43" i="32"/>
  <c r="AB43"/>
  <c r="H41" i="58"/>
  <c r="Y48" i="32"/>
  <c r="AB48" s="1"/>
  <c r="C174" i="47"/>
  <c r="K7" i="73"/>
  <c r="K11" s="1"/>
  <c r="E7"/>
  <c r="E8"/>
  <c r="K8"/>
  <c r="E9"/>
  <c r="K9"/>
  <c r="E10"/>
  <c r="K10"/>
  <c r="C11"/>
  <c r="E11" s="1"/>
  <c r="Y12" i="6"/>
  <c r="K12" i="15"/>
  <c r="X12" i="14"/>
  <c r="W14" i="43"/>
  <c r="W13" i="7"/>
  <c r="H24" i="58"/>
  <c r="W25" i="7"/>
  <c r="U25" i="8"/>
  <c r="T49" i="58"/>
  <c r="O49"/>
  <c r="J49"/>
  <c r="R29"/>
  <c r="Q29"/>
  <c r="Q15"/>
  <c r="J15"/>
  <c r="O15"/>
  <c r="C6" i="45"/>
  <c r="E6"/>
  <c r="F18" i="58"/>
  <c r="AC27" i="5"/>
  <c r="W28" i="7"/>
  <c r="W29" i="43"/>
  <c r="K27" i="15"/>
  <c r="U28" i="8"/>
  <c r="Q27" i="4"/>
  <c r="G26" i="58"/>
  <c r="H26"/>
  <c r="F46"/>
  <c r="H46"/>
  <c r="N32" i="32"/>
  <c r="G21" i="58"/>
  <c r="U41" i="8"/>
  <c r="Y49" i="32"/>
  <c r="AB49"/>
  <c r="AA49"/>
  <c r="AW49" i="18"/>
  <c r="Q6" i="4"/>
  <c r="AC6" i="5"/>
  <c r="AZ6" i="18"/>
  <c r="S6" i="20"/>
  <c r="U7" i="8"/>
  <c r="X6" i="14"/>
  <c r="N11" i="32"/>
  <c r="W12" i="7"/>
  <c r="U12" i="8"/>
  <c r="S11" i="20"/>
  <c r="X11" i="14"/>
  <c r="Y11" i="6"/>
  <c r="Q11" i="4"/>
  <c r="W13" i="43"/>
  <c r="U15" i="8"/>
  <c r="AC14" i="5"/>
  <c r="X14" i="14"/>
  <c r="W16" i="43"/>
  <c r="AZ14" i="18"/>
  <c r="Q14" i="4"/>
  <c r="Y14" i="6"/>
  <c r="S14" i="20"/>
  <c r="W18" i="43"/>
  <c r="X16" i="14"/>
  <c r="W17" i="7"/>
  <c r="AC16" i="5"/>
  <c r="K16" i="15"/>
  <c r="Q19" i="4"/>
  <c r="X19" i="14"/>
  <c r="U20" i="8"/>
  <c r="AC19" i="5"/>
  <c r="AZ19" i="18"/>
  <c r="W21" i="43"/>
  <c r="F16" i="58"/>
  <c r="AA13" i="32"/>
  <c r="Y13"/>
  <c r="AB13"/>
  <c r="Y9"/>
  <c r="AB9" s="1"/>
  <c r="AA9"/>
  <c r="K47" i="15"/>
  <c r="S47" i="20"/>
  <c r="L30" i="32"/>
  <c r="O30" s="1"/>
  <c r="G9" i="30"/>
  <c r="L21" i="58"/>
  <c r="N21"/>
  <c r="E7" i="64"/>
  <c r="H7"/>
  <c r="E33"/>
  <c r="F33"/>
  <c r="J33" s="1"/>
  <c r="Y29" i="32"/>
  <c r="AB29"/>
  <c r="Y40" i="6"/>
  <c r="AZ40" i="18"/>
  <c r="Q40" i="4"/>
  <c r="AC40" i="5"/>
  <c r="K40" i="15"/>
  <c r="H20" i="31"/>
  <c r="G9" i="33"/>
  <c r="I9"/>
  <c r="G7"/>
  <c r="J22" i="48"/>
  <c r="I22" s="1"/>
  <c r="H49" i="64"/>
  <c r="F49"/>
  <c r="I49"/>
  <c r="J49"/>
  <c r="E49"/>
  <c r="H28" i="31"/>
  <c r="J28"/>
  <c r="AB50" i="32"/>
  <c r="AA50"/>
  <c r="AW22" i="18"/>
  <c r="L26" i="32"/>
  <c r="O26" s="1"/>
  <c r="N26"/>
  <c r="J33" i="48"/>
  <c r="L33"/>
  <c r="H10" i="58"/>
  <c r="F10"/>
  <c r="AW21" i="18"/>
  <c r="H34" i="58"/>
  <c r="G34"/>
  <c r="H14"/>
  <c r="L18" i="32"/>
  <c r="O18"/>
  <c r="N18"/>
  <c r="K18" i="48"/>
  <c r="L18" s="1"/>
  <c r="W34" i="43"/>
  <c r="X32" i="14"/>
  <c r="W33" i="7"/>
  <c r="U33" i="8"/>
  <c r="S32" i="20"/>
  <c r="AC33" i="5"/>
  <c r="Q33" i="4"/>
  <c r="S33" i="20"/>
  <c r="W35" i="43"/>
  <c r="U34" i="8"/>
  <c r="H48" i="58"/>
  <c r="G48"/>
  <c r="U19" i="8"/>
  <c r="AC18" i="5"/>
  <c r="AZ18" i="18"/>
  <c r="Y18" i="6"/>
  <c r="X18" i="14"/>
  <c r="W24" i="7"/>
  <c r="X23" i="14"/>
  <c r="S23" i="20"/>
  <c r="K23" i="15"/>
  <c r="W25" i="43"/>
  <c r="X37" i="14"/>
  <c r="AC37" i="5"/>
  <c r="Y37" i="6"/>
  <c r="U38" i="8"/>
  <c r="Q37" i="4"/>
  <c r="AZ15" i="18"/>
  <c r="S15" i="20"/>
  <c r="Y15" i="6"/>
  <c r="W16" i="7"/>
  <c r="AC15" i="5"/>
  <c r="W17" i="43"/>
  <c r="Y30" i="6"/>
  <c r="W31" i="7"/>
  <c r="Y36" i="6"/>
  <c r="AZ36" i="18"/>
  <c r="U37" i="8"/>
  <c r="S36" i="20"/>
  <c r="AC36" i="5"/>
  <c r="AW38" i="18"/>
  <c r="F31" i="64"/>
  <c r="J31"/>
  <c r="E31"/>
  <c r="G12" i="48"/>
  <c r="K12"/>
  <c r="F12" i="33"/>
  <c r="G12"/>
  <c r="I12"/>
  <c r="O20" i="32"/>
  <c r="N20"/>
  <c r="H31" i="31"/>
  <c r="J31"/>
  <c r="G26" i="48"/>
  <c r="Y8" i="32"/>
  <c r="AA8"/>
  <c r="AB27"/>
  <c r="AA27"/>
  <c r="F49" i="58"/>
  <c r="C47" i="44"/>
  <c r="G47" s="1"/>
  <c r="AY47" i="18"/>
  <c r="AW47"/>
  <c r="H48" i="30"/>
  <c r="L48"/>
  <c r="D47" i="58"/>
  <c r="H47" s="1"/>
  <c r="P47" i="32"/>
  <c r="AY45" i="18"/>
  <c r="H46" i="30"/>
  <c r="L46"/>
  <c r="D45" i="48"/>
  <c r="C45" i="44"/>
  <c r="G45" s="1"/>
  <c r="D44" i="58"/>
  <c r="H44"/>
  <c r="N44" i="2"/>
  <c r="Y44" i="6"/>
  <c r="AY44" i="18"/>
  <c r="P46" i="32"/>
  <c r="C45"/>
  <c r="N45" s="1"/>
  <c r="C43" i="44"/>
  <c r="G43" s="1"/>
  <c r="I43" i="31"/>
  <c r="J43" s="1"/>
  <c r="N43" i="2"/>
  <c r="K42" i="48"/>
  <c r="L42"/>
  <c r="AY40" i="18"/>
  <c r="AW40"/>
  <c r="D40" i="48"/>
  <c r="P42" i="32"/>
  <c r="Y42" s="1"/>
  <c r="AB42" s="1"/>
  <c r="AX39" i="18"/>
  <c r="AW39" s="1"/>
  <c r="C40" i="30"/>
  <c r="G40"/>
  <c r="C39" i="58"/>
  <c r="D39"/>
  <c r="G39" s="1"/>
  <c r="N39" i="2"/>
  <c r="D35" i="48"/>
  <c r="P37" i="32"/>
  <c r="AA37" s="1"/>
  <c r="C35" i="30"/>
  <c r="G35"/>
  <c r="N34" i="2"/>
  <c r="C34" i="58"/>
  <c r="I34" i="31"/>
  <c r="AX34" i="18"/>
  <c r="AW34" s="1"/>
  <c r="C36" i="32"/>
  <c r="AX29" i="18"/>
  <c r="C27" i="44"/>
  <c r="D27" i="58"/>
  <c r="F27" s="1"/>
  <c r="I27" i="31"/>
  <c r="I50" s="1"/>
  <c r="C27" i="58"/>
  <c r="H27" i="30"/>
  <c r="L27" s="1"/>
  <c r="D26" i="48"/>
  <c r="J26" s="1"/>
  <c r="C26" i="44"/>
  <c r="AY26" i="18"/>
  <c r="AW26"/>
  <c r="N26" i="2"/>
  <c r="W28" i="43"/>
  <c r="N20" i="2"/>
  <c r="D20" i="58"/>
  <c r="F20"/>
  <c r="C20" i="44"/>
  <c r="I20" i="31"/>
  <c r="I18"/>
  <c r="C18" i="58"/>
  <c r="AY18" i="18"/>
  <c r="AW18" s="1"/>
  <c r="P20" i="32"/>
  <c r="AY16" i="18"/>
  <c r="H17" i="30"/>
  <c r="L17" s="1"/>
  <c r="C16" i="58"/>
  <c r="I16" i="31"/>
  <c r="C16" i="44"/>
  <c r="N46" i="2"/>
  <c r="Y46" i="6"/>
  <c r="C48" i="32"/>
  <c r="D46" i="48"/>
  <c r="J46" s="1"/>
  <c r="I46" s="1"/>
  <c r="F39" i="33"/>
  <c r="G39" i="31"/>
  <c r="H39"/>
  <c r="J39" s="1"/>
  <c r="G32" i="48"/>
  <c r="F32" i="33"/>
  <c r="G32" s="1"/>
  <c r="I32" s="1"/>
  <c r="F29"/>
  <c r="G29" i="31"/>
  <c r="H29" s="1"/>
  <c r="G16"/>
  <c r="H16" s="1"/>
  <c r="J16" s="1"/>
  <c r="F16" i="33"/>
  <c r="G16" i="48"/>
  <c r="G8"/>
  <c r="K8"/>
  <c r="F8" i="33"/>
  <c r="F13" i="31"/>
  <c r="F13" i="48"/>
  <c r="F11"/>
  <c r="F11" i="31"/>
  <c r="F9" i="48"/>
  <c r="J9" s="1"/>
  <c r="I9" s="1"/>
  <c r="K9"/>
  <c r="F9" i="31"/>
  <c r="F7" i="48"/>
  <c r="J7" s="1"/>
  <c r="F7" i="31"/>
  <c r="AU50" i="9"/>
  <c r="C177" i="47"/>
  <c r="G46" i="33"/>
  <c r="I46" s="1"/>
  <c r="G37"/>
  <c r="I37" s="1"/>
  <c r="H48" i="31"/>
  <c r="J48"/>
  <c r="G42" i="33"/>
  <c r="I42" s="1"/>
  <c r="G26"/>
  <c r="I26"/>
  <c r="G21"/>
  <c r="I21" s="1"/>
  <c r="G20"/>
  <c r="I20"/>
  <c r="H37" i="31"/>
  <c r="J37" s="1"/>
  <c r="H36"/>
  <c r="J36" s="1"/>
  <c r="G38" i="33"/>
  <c r="I38" s="1"/>
  <c r="G41"/>
  <c r="I41"/>
  <c r="C23" i="64"/>
  <c r="I23" s="1"/>
  <c r="C23" i="45"/>
  <c r="G36" i="33"/>
  <c r="G44"/>
  <c r="I44" s="1"/>
  <c r="D30" i="64"/>
  <c r="F30" s="1"/>
  <c r="W30" i="14"/>
  <c r="C30" i="64"/>
  <c r="A1" i="46"/>
  <c r="A1" i="48"/>
  <c r="A1" i="63"/>
  <c r="A1" i="11"/>
  <c r="D52" i="43"/>
  <c r="J52"/>
  <c r="R52"/>
  <c r="K50" i="14"/>
  <c r="S50"/>
  <c r="W13"/>
  <c r="D27" i="64"/>
  <c r="W27" i="14"/>
  <c r="C27" i="64"/>
  <c r="W34" i="14"/>
  <c r="C34" i="45"/>
  <c r="W40" i="14"/>
  <c r="C40" i="64"/>
  <c r="H40" s="1"/>
  <c r="W43" i="14"/>
  <c r="C43" i="64"/>
  <c r="F43" s="1"/>
  <c r="C43" i="45"/>
  <c r="E43" s="1"/>
  <c r="F23" i="64"/>
  <c r="J23" s="1"/>
  <c r="S46" i="20"/>
  <c r="X46" i="14"/>
  <c r="K46" i="15"/>
  <c r="W48" i="43"/>
  <c r="AC46" i="5"/>
  <c r="X20" i="14"/>
  <c r="AZ20" i="18"/>
  <c r="AC20" i="5"/>
  <c r="X26" i="14"/>
  <c r="AZ26" i="18"/>
  <c r="K26" i="15"/>
  <c r="S26" i="20"/>
  <c r="U27" i="8"/>
  <c r="J35" i="48"/>
  <c r="I35" s="1"/>
  <c r="K35"/>
  <c r="F39" i="58"/>
  <c r="AA42" i="32"/>
  <c r="Q43" i="4"/>
  <c r="X43" i="14"/>
  <c r="W44" i="7"/>
  <c r="W45" i="43"/>
  <c r="U44" i="8"/>
  <c r="AZ43" i="18"/>
  <c r="AC43" i="5"/>
  <c r="Y43" i="6"/>
  <c r="S43" i="20"/>
  <c r="K43" i="15"/>
  <c r="Y46" i="32"/>
  <c r="AB46" s="1"/>
  <c r="AA46"/>
  <c r="AZ44" i="18"/>
  <c r="K44" i="15"/>
  <c r="X44" i="14"/>
  <c r="W46" i="43"/>
  <c r="W45" i="7"/>
  <c r="Y47" i="32"/>
  <c r="AB47" s="1"/>
  <c r="AA47"/>
  <c r="J20" i="31"/>
  <c r="O48" i="32"/>
  <c r="N48"/>
  <c r="Y20"/>
  <c r="AB20"/>
  <c r="AA20"/>
  <c r="H20" i="58"/>
  <c r="G20"/>
  <c r="L36" i="32"/>
  <c r="O36" s="1"/>
  <c r="W36" i="43"/>
  <c r="Y34" i="6"/>
  <c r="AC34" i="5"/>
  <c r="Q34" i="4"/>
  <c r="U35" i="8"/>
  <c r="Y37" i="32"/>
  <c r="AB37" s="1"/>
  <c r="W40" i="7"/>
  <c r="AC39" i="5"/>
  <c r="F44" i="58"/>
  <c r="G44"/>
  <c r="F47"/>
  <c r="I7" i="33"/>
  <c r="K17" i="48"/>
  <c r="D7" i="35"/>
  <c r="D20"/>
  <c r="I18" i="48"/>
  <c r="I42" i="64"/>
  <c r="E14"/>
  <c r="F14"/>
  <c r="E41"/>
  <c r="I41"/>
  <c r="F48"/>
  <c r="E48"/>
  <c r="I48"/>
  <c r="E8"/>
  <c r="F8"/>
  <c r="H39"/>
  <c r="F39"/>
  <c r="J32"/>
  <c r="E36"/>
  <c r="F22"/>
  <c r="E47"/>
  <c r="D6" i="35"/>
  <c r="E5"/>
  <c r="F32" i="65"/>
  <c r="C190" i="47"/>
  <c r="S37" i="58"/>
  <c r="T43"/>
  <c r="Q43"/>
  <c r="N43"/>
  <c r="J43"/>
  <c r="R39"/>
  <c r="O39"/>
  <c r="P39"/>
  <c r="N39"/>
  <c r="J39"/>
  <c r="Q39"/>
  <c r="L39"/>
  <c r="R36"/>
  <c r="J36"/>
  <c r="P36"/>
  <c r="O30"/>
  <c r="J30"/>
  <c r="Q30"/>
  <c r="P14"/>
  <c r="L14"/>
  <c r="N14"/>
  <c r="J14"/>
  <c r="R14"/>
  <c r="P12"/>
  <c r="S12" s="1"/>
  <c r="T12"/>
  <c r="L12"/>
  <c r="O12"/>
  <c r="R12"/>
  <c r="C48" i="29"/>
  <c r="E48"/>
  <c r="I48" s="1"/>
  <c r="D48" i="45"/>
  <c r="E48" s="1"/>
  <c r="E48" i="58"/>
  <c r="I48" s="1"/>
  <c r="D46" i="45"/>
  <c r="E46"/>
  <c r="F46" i="44"/>
  <c r="G46"/>
  <c r="E46" i="58"/>
  <c r="I46" s="1"/>
  <c r="L46"/>
  <c r="F44" i="44"/>
  <c r="C44" i="29"/>
  <c r="E44" s="1"/>
  <c r="E44" i="58"/>
  <c r="D42" i="45"/>
  <c r="E42"/>
  <c r="F42" i="44"/>
  <c r="C42" i="29"/>
  <c r="E42"/>
  <c r="H42" s="1"/>
  <c r="E42" i="58"/>
  <c r="L42"/>
  <c r="F40" i="44"/>
  <c r="G40"/>
  <c r="C40" i="29"/>
  <c r="E40" s="1"/>
  <c r="I40" s="1"/>
  <c r="G40"/>
  <c r="D40" i="45"/>
  <c r="E40" i="58"/>
  <c r="L40" s="1"/>
  <c r="D38" i="45"/>
  <c r="E38" s="1"/>
  <c r="F38" i="44"/>
  <c r="G38" s="1"/>
  <c r="C38" i="29"/>
  <c r="E38"/>
  <c r="E38" i="58"/>
  <c r="F36" i="44"/>
  <c r="G36" s="1"/>
  <c r="C36" i="29"/>
  <c r="E36" s="1"/>
  <c r="D34" i="45"/>
  <c r="E34"/>
  <c r="F34" i="44"/>
  <c r="G34"/>
  <c r="E34" i="58"/>
  <c r="F32" i="44"/>
  <c r="G32"/>
  <c r="C32" i="29"/>
  <c r="E32" s="1"/>
  <c r="H32" s="1"/>
  <c r="E32" i="58"/>
  <c r="D32" i="45"/>
  <c r="E32"/>
  <c r="D30"/>
  <c r="E30" s="1"/>
  <c r="F30" i="44"/>
  <c r="C30" i="29"/>
  <c r="E30" s="1"/>
  <c r="F28" i="44"/>
  <c r="G28"/>
  <c r="E28" i="58"/>
  <c r="N28" s="1"/>
  <c r="Q28"/>
  <c r="D26" i="45"/>
  <c r="E26" s="1"/>
  <c r="F26" i="44"/>
  <c r="G26"/>
  <c r="E26" i="58"/>
  <c r="F24" i="44"/>
  <c r="G24"/>
  <c r="D24" i="45"/>
  <c r="C24" i="29"/>
  <c r="E24"/>
  <c r="E24" i="58"/>
  <c r="I24"/>
  <c r="D22" i="45"/>
  <c r="F22" i="44"/>
  <c r="G22" s="1"/>
  <c r="C22" i="29"/>
  <c r="E22"/>
  <c r="G22" s="1"/>
  <c r="E22" i="58"/>
  <c r="I22" s="1"/>
  <c r="F20" i="44"/>
  <c r="G20"/>
  <c r="C20" i="29"/>
  <c r="E20"/>
  <c r="E20" i="58"/>
  <c r="T20"/>
  <c r="D18" i="45"/>
  <c r="F18" i="44"/>
  <c r="C18" i="29"/>
  <c r="E18" s="1"/>
  <c r="I18" s="1"/>
  <c r="F16" i="44"/>
  <c r="G16" s="1"/>
  <c r="D16" i="45"/>
  <c r="E16" i="58"/>
  <c r="D14" i="45"/>
  <c r="E14"/>
  <c r="F14" i="44"/>
  <c r="C14" i="29"/>
  <c r="E14" s="1"/>
  <c r="F12" i="44"/>
  <c r="G12" s="1"/>
  <c r="C12" i="29"/>
  <c r="E12"/>
  <c r="G12" s="1"/>
  <c r="D10" i="45"/>
  <c r="F10" i="44"/>
  <c r="C10" i="29"/>
  <c r="E10" s="1"/>
  <c r="E10" i="58"/>
  <c r="I10" s="1"/>
  <c r="P10"/>
  <c r="F8" i="44"/>
  <c r="D8" i="45"/>
  <c r="E8" s="1"/>
  <c r="C8" i="29"/>
  <c r="E8" s="1"/>
  <c r="E8" i="58"/>
  <c r="I8" s="1"/>
  <c r="L17"/>
  <c r="P30"/>
  <c r="J12"/>
  <c r="T30"/>
  <c r="R30"/>
  <c r="H39" i="29"/>
  <c r="T39" i="58"/>
  <c r="O14"/>
  <c r="T14"/>
  <c r="R27"/>
  <c r="P27"/>
  <c r="O27"/>
  <c r="L27"/>
  <c r="J27"/>
  <c r="E18"/>
  <c r="O18" s="1"/>
  <c r="N18"/>
  <c r="C46" i="29"/>
  <c r="E46" s="1"/>
  <c r="G46" s="1"/>
  <c r="C34"/>
  <c r="E34"/>
  <c r="G34" s="1"/>
  <c r="D44" i="45"/>
  <c r="D28"/>
  <c r="D12"/>
  <c r="G45" i="29"/>
  <c r="G41"/>
  <c r="I41"/>
  <c r="H47"/>
  <c r="G47"/>
  <c r="I47"/>
  <c r="J18" i="58"/>
  <c r="J16"/>
  <c r="O16"/>
  <c r="R20"/>
  <c r="P20"/>
  <c r="O20"/>
  <c r="L28"/>
  <c r="R28"/>
  <c r="J32"/>
  <c r="Q32"/>
  <c r="N32"/>
  <c r="O32"/>
  <c r="T32"/>
  <c r="R32"/>
  <c r="T40"/>
  <c r="Q40"/>
  <c r="R42"/>
  <c r="N42"/>
  <c r="P42"/>
  <c r="P44"/>
  <c r="T44"/>
  <c r="L44"/>
  <c r="Q44"/>
  <c r="J44"/>
  <c r="T48"/>
  <c r="P48"/>
  <c r="S48" s="1"/>
  <c r="N48"/>
  <c r="J48"/>
  <c r="R48"/>
  <c r="L48"/>
  <c r="O48"/>
  <c r="Q48"/>
  <c r="G48" i="29"/>
  <c r="S14" i="58"/>
  <c r="S39"/>
  <c r="R8"/>
  <c r="S8" s="1"/>
  <c r="P8"/>
  <c r="N8"/>
  <c r="T8"/>
  <c r="Q8"/>
  <c r="J8"/>
  <c r="O8"/>
  <c r="L8"/>
  <c r="J10"/>
  <c r="N10"/>
  <c r="R22"/>
  <c r="N22"/>
  <c r="T22"/>
  <c r="L22"/>
  <c r="P22"/>
  <c r="Q22"/>
  <c r="O22"/>
  <c r="J22"/>
  <c r="T24"/>
  <c r="R24"/>
  <c r="O24"/>
  <c r="J24"/>
  <c r="J26"/>
  <c r="N26"/>
  <c r="P26"/>
  <c r="O26"/>
  <c r="T26"/>
  <c r="P34"/>
  <c r="O34"/>
  <c r="T34"/>
  <c r="T46"/>
  <c r="R46"/>
  <c r="J46"/>
  <c r="Q46"/>
  <c r="S46" s="1"/>
  <c r="P46"/>
  <c r="H40" i="29"/>
  <c r="I16"/>
  <c r="G16"/>
  <c r="H16"/>
  <c r="G26"/>
  <c r="H26"/>
  <c r="I26"/>
  <c r="R35" i="58"/>
  <c r="N35"/>
  <c r="P35"/>
  <c r="Q35"/>
  <c r="J35"/>
  <c r="O35"/>
  <c r="N23"/>
  <c r="G33" i="29"/>
  <c r="I33"/>
  <c r="O37" i="58"/>
  <c r="N37"/>
  <c r="T37"/>
  <c r="L9"/>
  <c r="R47"/>
  <c r="S47"/>
  <c r="O47"/>
  <c r="C50" i="15"/>
  <c r="D7" i="45"/>
  <c r="E7"/>
  <c r="F7" i="44"/>
  <c r="E13" i="58"/>
  <c r="C13" i="29"/>
  <c r="E13" s="1"/>
  <c r="E19" i="58"/>
  <c r="J19" s="1"/>
  <c r="L19"/>
  <c r="F19" i="44"/>
  <c r="G19" s="1"/>
  <c r="D23" i="45"/>
  <c r="E23"/>
  <c r="F23" i="44"/>
  <c r="D27" i="45"/>
  <c r="F27" i="44"/>
  <c r="G27"/>
  <c r="D33" i="45"/>
  <c r="E33" i="58"/>
  <c r="O33"/>
  <c r="F37" i="44"/>
  <c r="C37" i="29"/>
  <c r="E37"/>
  <c r="G37" s="1"/>
  <c r="D41" i="45"/>
  <c r="F41" i="44"/>
  <c r="G41" s="1"/>
  <c r="E41" i="58"/>
  <c r="I41" s="1"/>
  <c r="P41"/>
  <c r="E45"/>
  <c r="F45" i="44"/>
  <c r="T45" i="58"/>
  <c r="L41"/>
  <c r="T41"/>
  <c r="Q19"/>
  <c r="R19"/>
  <c r="T19"/>
  <c r="K23" i="48"/>
  <c r="L23"/>
  <c r="I23"/>
  <c r="C23" i="85"/>
  <c r="D23"/>
  <c r="C6"/>
  <c r="D6" s="1"/>
  <c r="U52" i="43"/>
  <c r="C6" i="48"/>
  <c r="J6" s="1"/>
  <c r="H6" i="58"/>
  <c r="K6" i="48"/>
  <c r="I6" s="1"/>
  <c r="AZ24" i="18"/>
  <c r="S24" i="20"/>
  <c r="K14" i="48"/>
  <c r="I14" s="1"/>
  <c r="C15"/>
  <c r="K15"/>
  <c r="J15"/>
  <c r="I15" s="1"/>
  <c r="Q13" i="58"/>
  <c r="R13"/>
  <c r="N13"/>
  <c r="I42" i="29"/>
  <c r="G42"/>
  <c r="F40" i="64"/>
  <c r="I40"/>
  <c r="E40"/>
  <c r="E27"/>
  <c r="F27"/>
  <c r="J27" s="1"/>
  <c r="H27"/>
  <c r="I27"/>
  <c r="T33" i="58"/>
  <c r="R33"/>
  <c r="N45"/>
  <c r="Q45"/>
  <c r="O46"/>
  <c r="N46"/>
  <c r="P24"/>
  <c r="N24"/>
  <c r="L24"/>
  <c r="L10"/>
  <c r="T10"/>
  <c r="O10"/>
  <c r="T42"/>
  <c r="Q42"/>
  <c r="S42"/>
  <c r="J28"/>
  <c r="T28"/>
  <c r="Q20"/>
  <c r="S20"/>
  <c r="L20"/>
  <c r="H7" i="31"/>
  <c r="J7" s="1"/>
  <c r="K39" i="15"/>
  <c r="U40" i="8"/>
  <c r="AZ39" i="18"/>
  <c r="S39" i="20"/>
  <c r="G27" i="58"/>
  <c r="C40" i="45"/>
  <c r="E40" s="1"/>
  <c r="C27"/>
  <c r="E27"/>
  <c r="C34" i="64"/>
  <c r="E34"/>
  <c r="I8" i="48"/>
  <c r="S44" i="20"/>
  <c r="Q44" i="4"/>
  <c r="AC44" i="5"/>
  <c r="U45" i="8"/>
  <c r="AC26" i="5"/>
  <c r="Y26" i="6"/>
  <c r="W27" i="7"/>
  <c r="Q26" i="4"/>
  <c r="U21" i="8"/>
  <c r="K20" i="15"/>
  <c r="S20" i="20"/>
  <c r="W21" i="7"/>
  <c r="W47"/>
  <c r="U47" i="8"/>
  <c r="AZ46" i="18"/>
  <c r="Q46" i="4"/>
  <c r="K46" i="48"/>
  <c r="E23" i="64"/>
  <c r="I33" i="48"/>
  <c r="J25" i="64"/>
  <c r="L17" i="32"/>
  <c r="O17" s="1"/>
  <c r="N17"/>
  <c r="Y23"/>
  <c r="AB23" s="1"/>
  <c r="I36" i="48"/>
  <c r="Q22" i="4"/>
  <c r="AC22" i="5"/>
  <c r="W24" i="43"/>
  <c r="W23" i="7"/>
  <c r="S22" i="20"/>
  <c r="K22" i="15"/>
  <c r="Y22" i="6"/>
  <c r="X22" i="14"/>
  <c r="AZ22" i="18"/>
  <c r="U23" i="8"/>
  <c r="AA22" i="32"/>
  <c r="I42" i="48"/>
  <c r="O22" i="32"/>
  <c r="N22"/>
  <c r="W49" i="43"/>
  <c r="W48" i="7"/>
  <c r="Q47" i="4"/>
  <c r="J48" i="48"/>
  <c r="I48" s="1"/>
  <c r="K24" i="15"/>
  <c r="Q24" i="4"/>
  <c r="U46" i="8"/>
  <c r="W47" i="43"/>
  <c r="Q45" i="4"/>
  <c r="Y45" i="6"/>
  <c r="Y7"/>
  <c r="W9" i="43"/>
  <c r="Q7" i="4"/>
  <c r="S7" i="20"/>
  <c r="F7" i="58"/>
  <c r="W33" i="43"/>
  <c r="AZ31" i="18"/>
  <c r="Q31" i="4"/>
  <c r="Y31" i="6"/>
  <c r="U50" i="8"/>
  <c r="W50" i="7"/>
  <c r="AC49" i="5"/>
  <c r="AZ49" i="18"/>
  <c r="Y35" i="6"/>
  <c r="S35" i="20"/>
  <c r="AZ35" i="18"/>
  <c r="AC35" i="5"/>
  <c r="AC24"/>
  <c r="Y10" i="6"/>
  <c r="S10" i="20"/>
  <c r="X10" i="14"/>
  <c r="W11" i="7"/>
  <c r="Y47" i="6"/>
  <c r="U48" i="8"/>
  <c r="P17" i="58"/>
  <c r="N17"/>
  <c r="N29"/>
  <c r="I22" i="64"/>
  <c r="J22" s="1"/>
  <c r="AZ27" i="18"/>
  <c r="H18" i="58"/>
  <c r="N47" i="32"/>
  <c r="F47" i="64"/>
  <c r="J47"/>
  <c r="H23" i="58"/>
  <c r="G22"/>
  <c r="W7" i="7"/>
  <c r="S21" i="20"/>
  <c r="U22" i="8"/>
  <c r="Y21" i="6"/>
  <c r="AC21" i="5"/>
  <c r="AC32"/>
  <c r="AZ30" i="18"/>
  <c r="X30" i="14"/>
  <c r="W34" i="7"/>
  <c r="G33" i="44"/>
  <c r="D13" i="35"/>
  <c r="E13"/>
  <c r="C26" i="85"/>
  <c r="D26" s="1"/>
  <c r="C26" i="48"/>
  <c r="C13" i="68"/>
  <c r="D13"/>
  <c r="F189" i="47" s="1"/>
  <c r="C44" i="85"/>
  <c r="D44"/>
  <c r="C45"/>
  <c r="D45"/>
  <c r="H45" s="1"/>
  <c r="C45" i="48"/>
  <c r="J45"/>
  <c r="I45" s="1"/>
  <c r="C7" i="85"/>
  <c r="D7" s="1"/>
  <c r="H7"/>
  <c r="I7" s="1"/>
  <c r="C9"/>
  <c r="D9"/>
  <c r="H9" s="1"/>
  <c r="C10"/>
  <c r="D10"/>
  <c r="C11"/>
  <c r="D11" s="1"/>
  <c r="C13"/>
  <c r="D13"/>
  <c r="H13" s="1"/>
  <c r="C19"/>
  <c r="D19"/>
  <c r="H19" s="1"/>
  <c r="I19" s="1"/>
  <c r="C21" i="48"/>
  <c r="C25"/>
  <c r="J25" s="1"/>
  <c r="C27"/>
  <c r="C31" i="85"/>
  <c r="D31" s="1"/>
  <c r="H31" s="1"/>
  <c r="C34"/>
  <c r="D34" s="1"/>
  <c r="C37" i="48"/>
  <c r="K37" s="1"/>
  <c r="L37" s="1"/>
  <c r="C39"/>
  <c r="K39" s="1"/>
  <c r="C40"/>
  <c r="J40" s="1"/>
  <c r="C41" i="85"/>
  <c r="D41"/>
  <c r="H41"/>
  <c r="G41" s="1"/>
  <c r="C42"/>
  <c r="D42"/>
  <c r="H42" s="1"/>
  <c r="C47" i="48"/>
  <c r="C48" i="85"/>
  <c r="D48" s="1"/>
  <c r="A1"/>
  <c r="C8"/>
  <c r="D8" s="1"/>
  <c r="H8" s="1"/>
  <c r="C34" i="48"/>
  <c r="J34" s="1"/>
  <c r="B14" i="35"/>
  <c r="D14" s="1"/>
  <c r="B15"/>
  <c r="E15" s="1"/>
  <c r="C17" i="85"/>
  <c r="D17" s="1"/>
  <c r="C33"/>
  <c r="D33"/>
  <c r="H33" s="1"/>
  <c r="C36"/>
  <c r="D36"/>
  <c r="H36" s="1"/>
  <c r="C16" i="48"/>
  <c r="J16" s="1"/>
  <c r="C32"/>
  <c r="B16" i="35"/>
  <c r="E16" s="1"/>
  <c r="D16"/>
  <c r="H38" i="85"/>
  <c r="G38" s="1"/>
  <c r="H46"/>
  <c r="G46"/>
  <c r="I50" i="14"/>
  <c r="E9" i="85"/>
  <c r="C9" i="29"/>
  <c r="E9"/>
  <c r="F15" i="44"/>
  <c r="E15" i="85"/>
  <c r="H15" s="1"/>
  <c r="C35" i="29"/>
  <c r="E35" s="1"/>
  <c r="I38" i="85"/>
  <c r="K34" i="48"/>
  <c r="K27"/>
  <c r="L27" s="1"/>
  <c r="J27"/>
  <c r="I27"/>
  <c r="I26"/>
  <c r="K26"/>
  <c r="L26" s="1"/>
  <c r="I34" i="64"/>
  <c r="K40" i="48"/>
  <c r="L40"/>
  <c r="J37"/>
  <c r="J40" i="64"/>
  <c r="L8" i="48"/>
  <c r="I40"/>
  <c r="I39" i="85"/>
  <c r="H46" i="29"/>
  <c r="I22"/>
  <c r="I41" i="85"/>
  <c r="K45" i="48"/>
  <c r="H34" i="64"/>
  <c r="K16" i="48"/>
  <c r="L16" s="1"/>
  <c r="L14"/>
  <c r="N33" i="58"/>
  <c r="N19"/>
  <c r="L45"/>
  <c r="P45"/>
  <c r="P16"/>
  <c r="N16"/>
  <c r="F50" i="33"/>
  <c r="Y39" i="6"/>
  <c r="Q39" i="4"/>
  <c r="W41" i="43"/>
  <c r="X39" i="14"/>
  <c r="H49" i="58"/>
  <c r="G49"/>
  <c r="N46" i="32"/>
  <c r="L46"/>
  <c r="O46" s="1"/>
  <c r="J41" i="48"/>
  <c r="I41"/>
  <c r="C13" i="45"/>
  <c r="E13"/>
  <c r="C13" i="64"/>
  <c r="I13"/>
  <c r="W22" i="43"/>
  <c r="Q20" i="4"/>
  <c r="Y20" i="6"/>
  <c r="H27" i="58"/>
  <c r="K34" i="15"/>
  <c r="W35" i="7"/>
  <c r="S34" i="20"/>
  <c r="X34" i="14"/>
  <c r="AZ34" i="18"/>
  <c r="G47" i="58"/>
  <c r="G41"/>
  <c r="AC9" i="5"/>
  <c r="Q9" i="4"/>
  <c r="W11" i="43"/>
  <c r="AZ9" i="18"/>
  <c r="G12" i="58"/>
  <c r="H40"/>
  <c r="Q12" i="4"/>
  <c r="H17" i="58"/>
  <c r="N44" i="32"/>
  <c r="E24" i="46"/>
  <c r="C43" i="85"/>
  <c r="D43" s="1"/>
  <c r="H43" s="1"/>
  <c r="C43" i="48"/>
  <c r="J43" s="1"/>
  <c r="I43" s="1"/>
  <c r="U51" i="7"/>
  <c r="C179" i="47"/>
  <c r="I181" i="71"/>
  <c r="AL16" i="2"/>
  <c r="AI16" i="15"/>
  <c r="H34" i="85"/>
  <c r="G34" s="1"/>
  <c r="C15" i="31"/>
  <c r="H44" i="85"/>
  <c r="G44" s="1"/>
  <c r="H15" i="31"/>
  <c r="C50"/>
  <c r="K43" i="48"/>
  <c r="F13" i="64"/>
  <c r="J13" s="1"/>
  <c r="L41" i="48"/>
  <c r="J15" i="31"/>
  <c r="C18" i="64"/>
  <c r="C18" i="45"/>
  <c r="E18" s="1"/>
  <c r="C26" i="64"/>
  <c r="I26" s="1"/>
  <c r="C26" i="45"/>
  <c r="H45" i="64"/>
  <c r="E45"/>
  <c r="F45"/>
  <c r="J45"/>
  <c r="I45"/>
  <c r="C12"/>
  <c r="E12" s="1"/>
  <c r="C12" i="45"/>
  <c r="C19"/>
  <c r="C19" i="64"/>
  <c r="I19" s="1"/>
  <c r="C35"/>
  <c r="E35" s="1"/>
  <c r="C35" i="45"/>
  <c r="E12"/>
  <c r="W10" i="14"/>
  <c r="W11"/>
  <c r="W16"/>
  <c r="W17"/>
  <c r="E13" i="64"/>
  <c r="E31" i="45"/>
  <c r="H13" i="64"/>
  <c r="F34"/>
  <c r="F42"/>
  <c r="J42"/>
  <c r="E42"/>
  <c r="H42"/>
  <c r="I37"/>
  <c r="H37"/>
  <c r="F37"/>
  <c r="E37"/>
  <c r="C10"/>
  <c r="E10" s="1"/>
  <c r="C10" i="45"/>
  <c r="E10"/>
  <c r="C11"/>
  <c r="E11"/>
  <c r="C11" i="64"/>
  <c r="H11" s="1"/>
  <c r="C16"/>
  <c r="C16" i="45"/>
  <c r="C17"/>
  <c r="E17" s="1"/>
  <c r="C17" i="64"/>
  <c r="E17" s="1"/>
  <c r="E26"/>
  <c r="F26"/>
  <c r="H26"/>
  <c r="E16" i="45"/>
  <c r="J48" i="64"/>
  <c r="H46"/>
  <c r="I46"/>
  <c r="F46"/>
  <c r="E46"/>
  <c r="F41"/>
  <c r="J41"/>
  <c r="H41"/>
  <c r="I38"/>
  <c r="J38" s="1"/>
  <c r="F38"/>
  <c r="E38"/>
  <c r="H38"/>
  <c r="H8"/>
  <c r="I8"/>
  <c r="J8"/>
  <c r="H14"/>
  <c r="I14"/>
  <c r="C28"/>
  <c r="I28" s="1"/>
  <c r="C28" i="45"/>
  <c r="E28" s="1"/>
  <c r="I39" i="64"/>
  <c r="J39"/>
  <c r="E39"/>
  <c r="C44"/>
  <c r="I44" s="1"/>
  <c r="C44" i="45"/>
  <c r="E44"/>
  <c r="E47"/>
  <c r="C30"/>
  <c r="H23" i="64"/>
  <c r="E49" i="45"/>
  <c r="E19"/>
  <c r="J33" i="58"/>
  <c r="Q18"/>
  <c r="G21" i="85"/>
  <c r="I21"/>
  <c r="H13" i="29"/>
  <c r="H21"/>
  <c r="G21"/>
  <c r="I21"/>
  <c r="G17"/>
  <c r="H17"/>
  <c r="G16" i="85"/>
  <c r="I16"/>
  <c r="G18"/>
  <c r="I18"/>
  <c r="G20"/>
  <c r="G47"/>
  <c r="I47"/>
  <c r="S27" i="58"/>
  <c r="Q41"/>
  <c r="O41"/>
  <c r="F11" i="44"/>
  <c r="G11"/>
  <c r="F31"/>
  <c r="G31" s="1"/>
  <c r="I37" i="85"/>
  <c r="H18" i="29"/>
  <c r="G18"/>
  <c r="I20"/>
  <c r="H20"/>
  <c r="G20"/>
  <c r="I32"/>
  <c r="G32"/>
  <c r="I12" i="85"/>
  <c r="G14"/>
  <c r="I14"/>
  <c r="I32"/>
  <c r="G32"/>
  <c r="S35" i="58"/>
  <c r="L18"/>
  <c r="P18"/>
  <c r="I38" i="29"/>
  <c r="G38"/>
  <c r="H38"/>
  <c r="H15"/>
  <c r="G15"/>
  <c r="H28"/>
  <c r="G28"/>
  <c r="H31"/>
  <c r="G31"/>
  <c r="I31"/>
  <c r="I9"/>
  <c r="G9"/>
  <c r="H19"/>
  <c r="G19"/>
  <c r="S31" i="58"/>
  <c r="O45"/>
  <c r="S22"/>
  <c r="M39"/>
  <c r="I37" i="29"/>
  <c r="H37"/>
  <c r="H9"/>
  <c r="I46" i="85"/>
  <c r="J13" i="58"/>
  <c r="Q33"/>
  <c r="T13"/>
  <c r="N41"/>
  <c r="J41"/>
  <c r="R41"/>
  <c r="I45" i="29"/>
  <c r="H45"/>
  <c r="Q10" i="58"/>
  <c r="R10"/>
  <c r="I27" i="29"/>
  <c r="I11"/>
  <c r="G11"/>
  <c r="H11"/>
  <c r="I39"/>
  <c r="G39"/>
  <c r="H49"/>
  <c r="I49"/>
  <c r="J46" i="64"/>
  <c r="H19"/>
  <c r="H12"/>
  <c r="F12"/>
  <c r="H18"/>
  <c r="I18"/>
  <c r="E44"/>
  <c r="F44"/>
  <c r="H28"/>
  <c r="E28"/>
  <c r="F28"/>
  <c r="J28" s="1"/>
  <c r="I16"/>
  <c r="J16" s="1"/>
  <c r="E16"/>
  <c r="H16"/>
  <c r="F16"/>
  <c r="J26"/>
  <c r="H17"/>
  <c r="I17"/>
  <c r="E11"/>
  <c r="F11"/>
  <c r="F10"/>
  <c r="I10"/>
  <c r="J10" s="1"/>
  <c r="H10"/>
  <c r="S10" i="58"/>
  <c r="J44" i="64"/>
  <c r="J23" i="15"/>
  <c r="G23" i="29"/>
  <c r="H23"/>
  <c r="K23" i="58"/>
  <c r="M23"/>
  <c r="G6" i="29"/>
  <c r="H6"/>
  <c r="I6"/>
  <c r="K6" i="58"/>
  <c r="I6"/>
  <c r="M6" s="1"/>
  <c r="R6"/>
  <c r="S6"/>
  <c r="E12" i="46"/>
  <c r="F50" i="15"/>
  <c r="J181" i="69"/>
  <c r="I181"/>
  <c r="I180"/>
  <c r="C19" i="63"/>
  <c r="H122" i="70"/>
  <c r="I181"/>
  <c r="F175" i="47"/>
  <c r="C13" i="44"/>
  <c r="G13"/>
  <c r="N13" i="2"/>
  <c r="D13" i="48"/>
  <c r="C13" i="58"/>
  <c r="C14" i="30"/>
  <c r="C51" s="1"/>
  <c r="I13" i="31"/>
  <c r="D13" i="58"/>
  <c r="H13" s="1"/>
  <c r="B8" i="63"/>
  <c r="D8"/>
  <c r="C15" i="32"/>
  <c r="B15" i="63"/>
  <c r="D15"/>
  <c r="AX13" i="18"/>
  <c r="L50" i="2"/>
  <c r="B22" i="63"/>
  <c r="D22" s="1"/>
  <c r="AL13" i="2"/>
  <c r="AI13" i="15"/>
  <c r="W15" i="43"/>
  <c r="S13" i="20"/>
  <c r="Q13" i="4"/>
  <c r="Y13" i="6"/>
  <c r="W14" i="7"/>
  <c r="K13" i="15"/>
  <c r="AC13" i="5"/>
  <c r="AZ13" i="18"/>
  <c r="X13" i="14"/>
  <c r="U14" i="8"/>
  <c r="AW13" i="18"/>
  <c r="N15" i="32"/>
  <c r="L15"/>
  <c r="O15" s="1"/>
  <c r="G14" i="30"/>
  <c r="J13" i="48"/>
  <c r="K13"/>
  <c r="L13" s="1"/>
  <c r="I13"/>
  <c r="J6" i="15"/>
  <c r="H18" i="94"/>
  <c r="H4"/>
  <c r="H11"/>
  <c r="H11" i="95"/>
  <c r="F192" i="47"/>
  <c r="H4" i="95"/>
  <c r="F176" i="47"/>
  <c r="H18" i="95"/>
  <c r="F186" i="47"/>
  <c r="C188"/>
  <c r="I30" i="64"/>
  <c r="E30"/>
  <c r="H30"/>
  <c r="S30" i="58"/>
  <c r="W29" i="14"/>
  <c r="C29" i="64"/>
  <c r="F29" s="1"/>
  <c r="E29"/>
  <c r="W24" i="14"/>
  <c r="C24" i="64"/>
  <c r="E24" s="1"/>
  <c r="BB50" i="14"/>
  <c r="J30" i="15"/>
  <c r="I30" i="58"/>
  <c r="M30"/>
  <c r="G30" i="44"/>
  <c r="J29" i="15"/>
  <c r="K29" i="58"/>
  <c r="J25" i="15"/>
  <c r="G25" i="29"/>
  <c r="H25"/>
  <c r="K25" i="58"/>
  <c r="M25" s="1"/>
  <c r="J24" i="15"/>
  <c r="G24" i="29"/>
  <c r="M24" i="58"/>
  <c r="Q24"/>
  <c r="S24"/>
  <c r="K24"/>
  <c r="V32" i="43"/>
  <c r="C30" i="85"/>
  <c r="D30" s="1"/>
  <c r="H30"/>
  <c r="I30" s="1"/>
  <c r="V31" i="43"/>
  <c r="C29" i="85"/>
  <c r="D29"/>
  <c r="H29"/>
  <c r="G29" s="1"/>
  <c r="BA52" i="43"/>
  <c r="V26"/>
  <c r="C24" i="48"/>
  <c r="K51" i="30"/>
  <c r="G26"/>
  <c r="J51"/>
  <c r="C181" i="47"/>
  <c r="I51" i="30"/>
  <c r="I25" i="33"/>
  <c r="E50" i="31"/>
  <c r="H24"/>
  <c r="G30" i="33"/>
  <c r="S30" i="20"/>
  <c r="Y32" i="32"/>
  <c r="AB32" s="1"/>
  <c r="AA32"/>
  <c r="U31" i="8"/>
  <c r="H31" i="30"/>
  <c r="L31"/>
  <c r="F2" i="97"/>
  <c r="F177" i="47"/>
  <c r="K30" i="15"/>
  <c r="D30" i="48"/>
  <c r="D30" i="58"/>
  <c r="G30" s="1"/>
  <c r="D29"/>
  <c r="H29" s="1"/>
  <c r="C29" i="44"/>
  <c r="G29"/>
  <c r="B10" i="63"/>
  <c r="D10"/>
  <c r="H30" i="30"/>
  <c r="M50" i="2"/>
  <c r="D29" i="48"/>
  <c r="J29" s="1"/>
  <c r="C29" i="58"/>
  <c r="N29" i="2"/>
  <c r="P31" i="32"/>
  <c r="Y31" s="1"/>
  <c r="AB31" s="1"/>
  <c r="B17" i="63"/>
  <c r="D17"/>
  <c r="AY29" i="18"/>
  <c r="I29" i="31"/>
  <c r="B24" i="63"/>
  <c r="D24" s="1"/>
  <c r="AK50" i="2"/>
  <c r="AL29"/>
  <c r="AI29" i="15"/>
  <c r="J29" i="31"/>
  <c r="G25" i="58"/>
  <c r="AJ50" i="2"/>
  <c r="AF2"/>
  <c r="C5" i="63"/>
  <c r="C171" i="47"/>
  <c r="J30" i="64"/>
  <c r="C29" i="45"/>
  <c r="E29" s="1"/>
  <c r="H29" i="64"/>
  <c r="I29"/>
  <c r="J29" s="1"/>
  <c r="C24" i="45"/>
  <c r="E24" s="1"/>
  <c r="W50" i="14"/>
  <c r="B5" i="65"/>
  <c r="H24" i="64"/>
  <c r="F24"/>
  <c r="J24" s="1"/>
  <c r="I24"/>
  <c r="J50" i="15"/>
  <c r="C185" i="47"/>
  <c r="C30" i="48"/>
  <c r="K30"/>
  <c r="C29"/>
  <c r="I29" i="85"/>
  <c r="V52" i="43"/>
  <c r="C184" i="47"/>
  <c r="C24" i="85"/>
  <c r="D24" s="1"/>
  <c r="H24" s="1"/>
  <c r="K24" i="48"/>
  <c r="L24" s="1"/>
  <c r="J24" i="31"/>
  <c r="L30" i="30"/>
  <c r="C7" i="68"/>
  <c r="D7" s="1"/>
  <c r="C6"/>
  <c r="D6" s="1"/>
  <c r="H2" i="2"/>
  <c r="F170" i="47"/>
  <c r="C173"/>
  <c r="C5" i="68"/>
  <c r="D5"/>
  <c r="F180" i="47" s="1"/>
  <c r="AW29" i="18"/>
  <c r="W31" i="43"/>
  <c r="U30" i="8"/>
  <c r="X29" i="14"/>
  <c r="Q29" i="4"/>
  <c r="W30" i="7"/>
  <c r="AC29" i="5"/>
  <c r="Y29" i="6"/>
  <c r="S29" i="20"/>
  <c r="K29" i="15"/>
  <c r="AZ29" i="18"/>
  <c r="C186" i="47"/>
  <c r="B4" i="65"/>
  <c r="B28" s="1"/>
  <c r="B31" s="1"/>
  <c r="A2" s="1"/>
  <c r="B4" i="46"/>
  <c r="D16" s="1"/>
  <c r="D22"/>
  <c r="J30" i="48"/>
  <c r="I30" s="1"/>
  <c r="E6" i="46"/>
  <c r="D15"/>
  <c r="D19"/>
  <c r="D29"/>
  <c r="D25"/>
  <c r="E25"/>
  <c r="D27"/>
  <c r="D7"/>
  <c r="D13"/>
  <c r="D14"/>
  <c r="E17"/>
  <c r="D26"/>
  <c r="D9"/>
  <c r="D23"/>
  <c r="D30"/>
  <c r="D24"/>
  <c r="G24" i="85" l="1"/>
  <c r="I24"/>
  <c r="I34" i="48"/>
  <c r="L34"/>
  <c r="H14" i="29"/>
  <c r="I14"/>
  <c r="G14"/>
  <c r="I37" i="48"/>
  <c r="L9"/>
  <c r="G44" i="29"/>
  <c r="H44"/>
  <c r="I44"/>
  <c r="G8" i="85"/>
  <c r="I8"/>
  <c r="I11" i="48"/>
  <c r="I49"/>
  <c r="I31" i="85"/>
  <c r="G31"/>
  <c r="G42"/>
  <c r="I42"/>
  <c r="I8" i="29"/>
  <c r="G8"/>
  <c r="H8"/>
  <c r="G9" i="85"/>
  <c r="I9"/>
  <c r="G15"/>
  <c r="I15"/>
  <c r="I13"/>
  <c r="G13"/>
  <c r="G30" i="29"/>
  <c r="H30"/>
  <c r="I30" s="1"/>
  <c r="J11" i="64"/>
  <c r="G33" i="85"/>
  <c r="I33"/>
  <c r="L39" i="48"/>
  <c r="G36" i="85"/>
  <c r="I36"/>
  <c r="H35" i="29"/>
  <c r="G35"/>
  <c r="I35"/>
  <c r="G43" i="85"/>
  <c r="I43"/>
  <c r="G10" i="29"/>
  <c r="H10"/>
  <c r="I10"/>
  <c r="H36"/>
  <c r="I36"/>
  <c r="G36"/>
  <c r="O10" i="32"/>
  <c r="I45" i="33"/>
  <c r="Q38" i="58"/>
  <c r="P38"/>
  <c r="I38"/>
  <c r="K38"/>
  <c r="J21" i="48"/>
  <c r="K21"/>
  <c r="L21" s="1"/>
  <c r="I33" i="58"/>
  <c r="K33"/>
  <c r="L33"/>
  <c r="J34"/>
  <c r="N34"/>
  <c r="I34"/>
  <c r="K34"/>
  <c r="L29"/>
  <c r="I29"/>
  <c r="P29"/>
  <c r="S29" s="1"/>
  <c r="T7"/>
  <c r="O7"/>
  <c r="I7"/>
  <c r="K7"/>
  <c r="P7"/>
  <c r="S7" s="1"/>
  <c r="F15"/>
  <c r="H15"/>
  <c r="C187" i="47"/>
  <c r="E21" i="46"/>
  <c r="AA31" i="32"/>
  <c r="F25" i="58"/>
  <c r="C52" i="32"/>
  <c r="N52" s="1"/>
  <c r="F17" i="64"/>
  <c r="J17" s="1"/>
  <c r="E19"/>
  <c r="G7" i="29"/>
  <c r="I34" i="85"/>
  <c r="F6" i="64"/>
  <c r="L45" i="48"/>
  <c r="I46" i="29"/>
  <c r="K47" i="48"/>
  <c r="L47" s="1"/>
  <c r="L6"/>
  <c r="R38" i="58"/>
  <c r="G50" i="31"/>
  <c r="L45" i="32"/>
  <c r="O45" s="1"/>
  <c r="H6" i="31"/>
  <c r="J12" i="48"/>
  <c r="Y28" i="32"/>
  <c r="AB28" s="1"/>
  <c r="J27" i="31"/>
  <c r="G48" i="44"/>
  <c r="H41" i="31"/>
  <c r="J41" s="1"/>
  <c r="H45"/>
  <c r="J45" s="1"/>
  <c r="F51" i="30"/>
  <c r="H17" i="85"/>
  <c r="H48"/>
  <c r="P40" i="58"/>
  <c r="I40"/>
  <c r="K40"/>
  <c r="O40"/>
  <c r="T21"/>
  <c r="J21"/>
  <c r="P21"/>
  <c r="R21"/>
  <c r="I21"/>
  <c r="K21"/>
  <c r="F21" i="64"/>
  <c r="J21" s="1"/>
  <c r="I21"/>
  <c r="H21"/>
  <c r="G27" i="29"/>
  <c r="H27"/>
  <c r="G29" i="58"/>
  <c r="T38"/>
  <c r="I6" i="64"/>
  <c r="AB8" i="32"/>
  <c r="N24"/>
  <c r="G49" i="44"/>
  <c r="L48" i="48"/>
  <c r="K7"/>
  <c r="L7" s="1"/>
  <c r="J29" i="58"/>
  <c r="H50" i="33"/>
  <c r="J25" i="31"/>
  <c r="H28" i="85"/>
  <c r="H40"/>
  <c r="I45"/>
  <c r="G45"/>
  <c r="F18" i="64"/>
  <c r="J18" s="1"/>
  <c r="E18"/>
  <c r="L26" i="58"/>
  <c r="Q26"/>
  <c r="S26" s="1"/>
  <c r="I26"/>
  <c r="K26"/>
  <c r="O42"/>
  <c r="J42"/>
  <c r="I42"/>
  <c r="M42" s="1"/>
  <c r="K42"/>
  <c r="I9" i="64"/>
  <c r="J9" s="1"/>
  <c r="H9"/>
  <c r="J43"/>
  <c r="G25" i="85"/>
  <c r="H7" i="29"/>
  <c r="H37" i="58"/>
  <c r="D18" i="46"/>
  <c r="D8"/>
  <c r="D20"/>
  <c r="D11"/>
  <c r="F29" i="58"/>
  <c r="G30" i="85"/>
  <c r="G13" i="58"/>
  <c r="F19" i="64"/>
  <c r="J19" s="1"/>
  <c r="H35"/>
  <c r="E6"/>
  <c r="L35" i="48"/>
  <c r="G7" i="85"/>
  <c r="K25" i="48"/>
  <c r="L25" s="1"/>
  <c r="J47"/>
  <c r="O38" i="58"/>
  <c r="S41"/>
  <c r="L34"/>
  <c r="J40"/>
  <c r="H39"/>
  <c r="L28" i="32"/>
  <c r="O28" s="1"/>
  <c r="G6" i="33"/>
  <c r="G50" s="1"/>
  <c r="G28" i="58"/>
  <c r="G8" i="33"/>
  <c r="I8" s="1"/>
  <c r="J18" i="31"/>
  <c r="G8" i="44"/>
  <c r="F24" i="58"/>
  <c r="K10" i="48"/>
  <c r="L10" s="1"/>
  <c r="Q21" i="58"/>
  <c r="J15" i="64"/>
  <c r="L27" i="32"/>
  <c r="O27" s="1"/>
  <c r="N39"/>
  <c r="E41" i="45"/>
  <c r="R45" i="58"/>
  <c r="S45" s="1"/>
  <c r="I45"/>
  <c r="M45" s="1"/>
  <c r="K45"/>
  <c r="O13"/>
  <c r="L13"/>
  <c r="P13"/>
  <c r="S13" s="1"/>
  <c r="I13"/>
  <c r="M13" s="1"/>
  <c r="K13"/>
  <c r="T15"/>
  <c r="I15"/>
  <c r="M15" s="1"/>
  <c r="K15"/>
  <c r="P15"/>
  <c r="S15" s="1"/>
  <c r="I36" i="64"/>
  <c r="J36" s="1"/>
  <c r="H36"/>
  <c r="F14" i="58"/>
  <c r="G14"/>
  <c r="L46" i="48"/>
  <c r="E33" i="45"/>
  <c r="K29" i="48"/>
  <c r="L29" s="1"/>
  <c r="E24" i="63"/>
  <c r="E14" i="35"/>
  <c r="J32" i="48"/>
  <c r="D17" i="46"/>
  <c r="I35" i="64"/>
  <c r="J37"/>
  <c r="I16" i="48"/>
  <c r="H43" i="64"/>
  <c r="I34" i="29"/>
  <c r="K32" i="48"/>
  <c r="L32" s="1"/>
  <c r="R34" i="58"/>
  <c r="R40"/>
  <c r="K11" i="48"/>
  <c r="L11" s="1"/>
  <c r="H11" i="31"/>
  <c r="J11" s="1"/>
  <c r="G35" i="44"/>
  <c r="J17" i="48"/>
  <c r="D50" i="33"/>
  <c r="G23" i="44"/>
  <c r="H9" i="31"/>
  <c r="J9" s="1"/>
  <c r="H23"/>
  <c r="J23" s="1"/>
  <c r="H11" i="85"/>
  <c r="H23"/>
  <c r="H27"/>
  <c r="H35"/>
  <c r="G13" i="29"/>
  <c r="I13"/>
  <c r="I20" i="58"/>
  <c r="K20"/>
  <c r="J20"/>
  <c r="N20"/>
  <c r="L32"/>
  <c r="I32"/>
  <c r="M32" s="1"/>
  <c r="K32"/>
  <c r="P32"/>
  <c r="S32" s="1"/>
  <c r="N44"/>
  <c r="O44"/>
  <c r="R44"/>
  <c r="S44" s="1"/>
  <c r="I44"/>
  <c r="M44" s="1"/>
  <c r="K44"/>
  <c r="H21"/>
  <c r="F21"/>
  <c r="G9"/>
  <c r="F9"/>
  <c r="K38" i="48"/>
  <c r="J38"/>
  <c r="I38" s="1"/>
  <c r="L43"/>
  <c r="F21" i="46"/>
  <c r="F181" i="47" s="1"/>
  <c r="D10" i="46"/>
  <c r="E23"/>
  <c r="F23" s="1"/>
  <c r="H51" i="30"/>
  <c r="L51" s="1"/>
  <c r="F30" i="58"/>
  <c r="D28" i="46"/>
  <c r="D12"/>
  <c r="D6"/>
  <c r="H30" i="58"/>
  <c r="H29" i="29"/>
  <c r="I29" s="1"/>
  <c r="I11" i="64"/>
  <c r="H44"/>
  <c r="I12"/>
  <c r="J12" s="1"/>
  <c r="F35"/>
  <c r="J35" s="1"/>
  <c r="J34"/>
  <c r="I44" i="85"/>
  <c r="I43" i="64"/>
  <c r="H34" i="29"/>
  <c r="H22"/>
  <c r="O28" i="58"/>
  <c r="H48" i="29"/>
  <c r="I12"/>
  <c r="J45" i="58"/>
  <c r="R26"/>
  <c r="N40"/>
  <c r="N38"/>
  <c r="J14" i="64"/>
  <c r="T29" i="58"/>
  <c r="AA25" i="32"/>
  <c r="F45" i="58"/>
  <c r="J31" i="48"/>
  <c r="J7" i="58"/>
  <c r="O21"/>
  <c r="O29"/>
  <c r="J8" i="31"/>
  <c r="AW45" i="18"/>
  <c r="AW11"/>
  <c r="J28" i="48"/>
  <c r="I28" s="1"/>
  <c r="K20"/>
  <c r="L20" s="1"/>
  <c r="I25" i="29"/>
  <c r="E22" i="45"/>
  <c r="F183" i="47" s="1"/>
  <c r="L11" i="73"/>
  <c r="F187" i="47" s="1"/>
  <c r="F37" i="58"/>
  <c r="H36"/>
  <c r="AA19" i="32"/>
  <c r="AW28" i="18"/>
  <c r="L19" i="32"/>
  <c r="O19" s="1"/>
  <c r="H47" i="31"/>
  <c r="J47" s="1"/>
  <c r="H33"/>
  <c r="J33" s="1"/>
  <c r="D51" i="30"/>
  <c r="G51" s="1"/>
  <c r="F172" i="47" s="1"/>
  <c r="G44" i="44"/>
  <c r="G16" i="33"/>
  <c r="I16" s="1"/>
  <c r="I19"/>
  <c r="H6" i="85"/>
  <c r="AX50" i="18"/>
  <c r="AW50" s="1"/>
  <c r="AW6"/>
  <c r="D21" i="46"/>
  <c r="E22"/>
  <c r="E13"/>
  <c r="O19" i="58"/>
  <c r="I19"/>
  <c r="K19"/>
  <c r="P19"/>
  <c r="S19" s="1"/>
  <c r="R18"/>
  <c r="S18" s="1"/>
  <c r="I18"/>
  <c r="M18" s="1"/>
  <c r="K18"/>
  <c r="T18"/>
  <c r="L16"/>
  <c r="Q16"/>
  <c r="R16"/>
  <c r="T16"/>
  <c r="I16"/>
  <c r="K16"/>
  <c r="I28"/>
  <c r="K28"/>
  <c r="P28"/>
  <c r="S28" s="1"/>
  <c r="L23" i="32"/>
  <c r="O23" s="1"/>
  <c r="N23"/>
  <c r="F23" i="58"/>
  <c r="G23"/>
  <c r="H24" i="29"/>
  <c r="I24" s="1"/>
  <c r="F13" i="58"/>
  <c r="G19" i="85"/>
  <c r="D15" i="35"/>
  <c r="F188" i="47" s="1"/>
  <c r="Y22" i="32"/>
  <c r="AB22" s="1"/>
  <c r="P33" i="58"/>
  <c r="S33" s="1"/>
  <c r="H12" i="29"/>
  <c r="Q34" i="58"/>
  <c r="S34" s="1"/>
  <c r="J38"/>
  <c r="E43" i="64"/>
  <c r="AA33" i="32"/>
  <c r="H30" i="31"/>
  <c r="J30" s="1"/>
  <c r="L19" i="48"/>
  <c r="AW16" i="18"/>
  <c r="J19" i="48"/>
  <c r="I19" s="1"/>
  <c r="G42" i="44"/>
  <c r="I43" i="33"/>
  <c r="H10" i="85"/>
  <c r="H22"/>
  <c r="H26"/>
  <c r="J44" i="48"/>
  <c r="K44"/>
  <c r="L44" s="1"/>
  <c r="Y26" i="32"/>
  <c r="AB26" s="1"/>
  <c r="AA26"/>
  <c r="F35" i="58"/>
  <c r="H35"/>
  <c r="F43"/>
  <c r="G43"/>
  <c r="F42"/>
  <c r="H42"/>
  <c r="L30" i="48"/>
  <c r="L15"/>
  <c r="L38" i="58"/>
  <c r="K49" i="48"/>
  <c r="L49" s="1"/>
  <c r="S25" i="58"/>
  <c r="L22" i="48"/>
  <c r="G7" i="44"/>
  <c r="F182" i="47" s="1"/>
  <c r="E45" i="45"/>
  <c r="H49" i="85"/>
  <c r="N16" i="32"/>
  <c r="L21"/>
  <c r="O21" s="1"/>
  <c r="K43" i="58"/>
  <c r="K35"/>
  <c r="M35" s="1"/>
  <c r="K22"/>
  <c r="M22" s="1"/>
  <c r="K14"/>
  <c r="M14" s="1"/>
  <c r="I43"/>
  <c r="M43" s="1"/>
  <c r="K36"/>
  <c r="I36"/>
  <c r="M36" s="1"/>
  <c r="K37"/>
  <c r="M37" s="1"/>
  <c r="K27"/>
  <c r="M27" s="1"/>
  <c r="K8"/>
  <c r="M8" s="1"/>
  <c r="Q17"/>
  <c r="S17" s="1"/>
  <c r="T36"/>
  <c r="Q36"/>
  <c r="S36" s="1"/>
  <c r="O43"/>
  <c r="R49"/>
  <c r="Q49"/>
  <c r="S49" s="1"/>
  <c r="F20" i="64"/>
  <c r="J20" s="1"/>
  <c r="N11" i="58"/>
  <c r="K46"/>
  <c r="M46" s="1"/>
  <c r="K17"/>
  <c r="K9"/>
  <c r="M9" s="1"/>
  <c r="I17"/>
  <c r="K10"/>
  <c r="M10" s="1"/>
  <c r="P43"/>
  <c r="K48"/>
  <c r="M48" s="1"/>
  <c r="K11"/>
  <c r="M11" s="1"/>
  <c r="R43"/>
  <c r="R17"/>
  <c r="N49"/>
  <c r="I15" i="64"/>
  <c r="K49" i="58"/>
  <c r="M49" s="1"/>
  <c r="K41"/>
  <c r="M41" s="1"/>
  <c r="K12"/>
  <c r="M12" s="1"/>
  <c r="F179" i="47" l="1"/>
  <c r="I49" i="85"/>
  <c r="G49"/>
  <c r="M17" i="58"/>
  <c r="M28"/>
  <c r="I47" i="48"/>
  <c r="I7"/>
  <c r="I25"/>
  <c r="I17" i="85"/>
  <c r="G17"/>
  <c r="H50" i="31"/>
  <c r="J50" s="1"/>
  <c r="J6"/>
  <c r="F171" i="47" s="1"/>
  <c r="I32" i="48"/>
  <c r="S21" i="58"/>
  <c r="J6" i="64"/>
  <c r="F185" i="47" s="1"/>
  <c r="Y52" i="32"/>
  <c r="AB52" s="1"/>
  <c r="S38" i="58"/>
  <c r="G40" i="85"/>
  <c r="I40"/>
  <c r="I48"/>
  <c r="G48"/>
  <c r="M7" i="58"/>
  <c r="M38"/>
  <c r="I35" i="85"/>
  <c r="G35"/>
  <c r="I12" i="48"/>
  <c r="L12"/>
  <c r="I10" i="85"/>
  <c r="G10"/>
  <c r="S43" i="58"/>
  <c r="M20"/>
  <c r="I6" i="33"/>
  <c r="F174" i="47" s="1"/>
  <c r="S16" i="58"/>
  <c r="M19"/>
  <c r="L38" i="48"/>
  <c r="M21" i="58"/>
  <c r="S40"/>
  <c r="M34"/>
  <c r="L52" i="32"/>
  <c r="O52" s="1"/>
  <c r="F173" i="47" s="1"/>
  <c r="I22" i="85"/>
  <c r="G22"/>
  <c r="G6"/>
  <c r="F191" i="47" s="1"/>
  <c r="I6" i="85"/>
  <c r="G11"/>
  <c r="I11"/>
  <c r="I50" i="33"/>
  <c r="M40" i="58"/>
  <c r="I21" i="48"/>
  <c r="I20"/>
  <c r="I10"/>
  <c r="I31"/>
  <c r="L31"/>
  <c r="G23" i="85"/>
  <c r="I23"/>
  <c r="I29" i="48"/>
  <c r="I26" i="85"/>
  <c r="G26"/>
  <c r="G27"/>
  <c r="I27"/>
  <c r="I17" i="48"/>
  <c r="L17"/>
  <c r="G28" i="85"/>
  <c r="I28"/>
  <c r="I44" i="48"/>
  <c r="M16" i="58"/>
  <c r="M26"/>
  <c r="M29"/>
  <c r="M33"/>
  <c r="L28" i="48"/>
  <c r="F184" i="47" l="1"/>
</calcChain>
</file>

<file path=xl/sharedStrings.xml><?xml version="1.0" encoding="utf-8"?>
<sst xmlns="http://schemas.openxmlformats.org/spreadsheetml/2006/main" count="2268" uniqueCount="1124">
  <si>
    <t>Personale soggetto a turnazione (**) Personale indicato in T1</t>
  </si>
  <si>
    <t>Personale soggetto a reperibilità (**) Personale indicato in T1</t>
  </si>
  <si>
    <t>L’ente ha attive al 31/12 convenzioni con altri enti ai sensi dell’art. 30 del T.U.E.L. , o di analoghe disposizioni delle Regioni e Province Autonome?</t>
  </si>
  <si>
    <t>Numero di unità di personale assunte come stagionali a progetto (l.296/2006 comma 564 o di analoghe disposizioni delle Regioni e Province Autonome)</t>
  </si>
  <si>
    <t>F919</t>
  </si>
  <si>
    <t>F925</t>
  </si>
  <si>
    <t>F926</t>
  </si>
  <si>
    <t>F928</t>
  </si>
  <si>
    <t>F929</t>
  </si>
  <si>
    <t>F931</t>
  </si>
  <si>
    <t>F932</t>
  </si>
  <si>
    <t>F933</t>
  </si>
  <si>
    <t>MESSI NOTIFICATORI (ART. 54 CCNL 14.9.00)</t>
  </si>
  <si>
    <t>U255</t>
  </si>
  <si>
    <t>U257</t>
  </si>
  <si>
    <t>U262</t>
  </si>
  <si>
    <t>CONTRATTI PER RESA SERVIZI/ADEMPIMENTI OBBLIGATORI PER LEGGE</t>
  </si>
  <si>
    <t>L115</t>
  </si>
  <si>
    <t>c) Economico</t>
  </si>
  <si>
    <t>b) Giuridico-amministrativo</t>
  </si>
  <si>
    <t>j=(a+b+c+d-e-f-g-h-i)</t>
  </si>
  <si>
    <t>k</t>
  </si>
  <si>
    <t>j=k</t>
  </si>
  <si>
    <t>s</t>
  </si>
  <si>
    <t>u=(l+m+n+o-p-q-r-s-t)</t>
  </si>
  <si>
    <t>v</t>
  </si>
  <si>
    <t>u=v</t>
  </si>
  <si>
    <t>Costituzione fondi per la contrattazione integrativa (*)</t>
  </si>
  <si>
    <t>Destinazione fondi per la contrattazione integrativa (*)</t>
  </si>
  <si>
    <t>RETRIBUZIONE DI POSIZIONE</t>
  </si>
  <si>
    <t>RETRIBUZIONE DI RISULTATO</t>
  </si>
  <si>
    <t>unità per il calcolo delle assenze (*)</t>
  </si>
  <si>
    <t>Presenti per titolo di studio 
(Tab 9)</t>
  </si>
  <si>
    <t>Incarichi libero professionale, studio, ricerca e consulenza</t>
  </si>
  <si>
    <t>Contratti per resa servizi/adempimenti obbligatori per legge</t>
  </si>
  <si>
    <t>*25</t>
  </si>
  <si>
    <t>Numero dirigenti appartenenti alla polizia locale</t>
  </si>
  <si>
    <t>*26</t>
  </si>
  <si>
    <t>Numero appartenenti alla polizia locale di categoria C</t>
  </si>
  <si>
    <t>*27</t>
  </si>
  <si>
    <t>Numero appartenenti alla polizia locale di categoria D</t>
  </si>
  <si>
    <t>L’incarico di Direttore Generale è stato conferito in data antecedente al 28 marzo 2010?</t>
  </si>
  <si>
    <t>T1</t>
  </si>
  <si>
    <t>SQ 1</t>
  </si>
  <si>
    <t>T2</t>
  </si>
  <si>
    <t>SQ 2</t>
  </si>
  <si>
    <t>T3</t>
  </si>
  <si>
    <t>SQ 3</t>
  </si>
  <si>
    <t>T4</t>
  </si>
  <si>
    <t>SQ 4</t>
  </si>
  <si>
    <t>T5</t>
  </si>
  <si>
    <t>T6</t>
  </si>
  <si>
    <t>T7</t>
  </si>
  <si>
    <t>IN 1</t>
  </si>
  <si>
    <t>T8</t>
  </si>
  <si>
    <t>IN 2</t>
  </si>
  <si>
    <t>T9</t>
  </si>
  <si>
    <t>IN 4</t>
  </si>
  <si>
    <t>T10</t>
  </si>
  <si>
    <t>IN 5</t>
  </si>
  <si>
    <t>T11</t>
  </si>
  <si>
    <t>IN 6</t>
  </si>
  <si>
    <t>T12</t>
  </si>
  <si>
    <t>IN 7</t>
  </si>
  <si>
    <t>T13</t>
  </si>
  <si>
    <t>T14</t>
  </si>
  <si>
    <t>T15</t>
  </si>
  <si>
    <t>Contratti di collaborazione coordinata e continuativa</t>
  </si>
  <si>
    <t>Totale della Tabella T11</t>
  </si>
  <si>
    <t>Totale della Tabella T1</t>
  </si>
  <si>
    <t>Totale della Tabella T3 (personale esterno)</t>
  </si>
  <si>
    <t>Totale Usciti della Tabella T4</t>
  </si>
  <si>
    <t>Totale Entrati della Tabella T4</t>
  </si>
  <si>
    <t>Totale della Tabella T5</t>
  </si>
  <si>
    <t>Incongruenza 7</t>
  </si>
  <si>
    <t>Incongruenza           [se a&gt;0 e (b=0 e c=0 e d=0 e e=0 e f=0)]</t>
  </si>
  <si>
    <t>Incongruenza         [se a=0 e (b&gt;0 o c&gt;0 o d&gt;0 o e&gt;0 o f&gt;0)]</t>
  </si>
  <si>
    <t>RALN</t>
  </si>
  <si>
    <t>CONTRATTI DI COLLABORAZIONE COORDINATA E CONTINUATIVA</t>
  </si>
  <si>
    <t>Contratti di somministrazione (ex interinale)</t>
  </si>
  <si>
    <t>Contratti di somministrazione
(ex Interinale) (*)</t>
  </si>
  <si>
    <t>INDIRIZZO PAGINA WEB DELL'ENTE</t>
  </si>
  <si>
    <t>Sono stati costituiti i nuclei di valutazione per il personale dirigente?</t>
  </si>
  <si>
    <t>CONVENZIONI</t>
  </si>
  <si>
    <t>Passaggi ad altra Amministrazione dello stesso comparto (*)</t>
  </si>
  <si>
    <t>Passaggi ad altra Amministrazione di altro comparto (*)</t>
  </si>
  <si>
    <t>Personale stabilizzato da LSU</t>
  </si>
  <si>
    <t>LAUREA BREVE</t>
  </si>
  <si>
    <t>SPECIALIZZAZIONE
POST LAUREA/ DOTTORATO DI RICERCA</t>
  </si>
  <si>
    <t>ALTRI TITOLI
POST LAUREA</t>
  </si>
  <si>
    <t>FORMAZIONE</t>
  </si>
  <si>
    <t>a) Tecnico</t>
  </si>
  <si>
    <t>Suddividere i contratti co.co.co. attivi nel corso dell’anno secondo la loro durata:</t>
  </si>
  <si>
    <t>a) 1 - 3 mesi</t>
  </si>
  <si>
    <t>b) 4 - 6 mesi</t>
  </si>
  <si>
    <t>c) 7 - 12 mesi</t>
  </si>
  <si>
    <t>d) oltre 12 mesi</t>
  </si>
  <si>
    <t>a) Laurea</t>
  </si>
  <si>
    <t>b) Diploma superiore</t>
  </si>
  <si>
    <t>c) Diploma inferiore</t>
  </si>
  <si>
    <t>VALORE</t>
  </si>
  <si>
    <t>VALORE %</t>
  </si>
  <si>
    <t>N U M E R O      D I     D I P E N D E N T I</t>
  </si>
  <si>
    <t>Cod.</t>
  </si>
  <si>
    <t>Dotazioni organiche</t>
  </si>
  <si>
    <t>Uomini</t>
  </si>
  <si>
    <t>Donne</t>
  </si>
  <si>
    <t>TOTALE</t>
  </si>
  <si>
    <t>A tempo pieno</t>
  </si>
  <si>
    <t>FERIE</t>
  </si>
  <si>
    <t>N. gg</t>
  </si>
  <si>
    <t>FINO ALLA SCUOLA DELL'OBBLIGO</t>
  </si>
  <si>
    <t>LIC. MEDIA SUPERIORE</t>
  </si>
  <si>
    <t>LAUREA</t>
  </si>
  <si>
    <t>tra 25 e 29 anni</t>
  </si>
  <si>
    <t xml:space="preserve"> tra 30 e 34 anni</t>
  </si>
  <si>
    <t>tra 35 e 39 anni</t>
  </si>
  <si>
    <t>tra 40 e 44 anni</t>
  </si>
  <si>
    <t>tra 45 e 49 anni</t>
  </si>
  <si>
    <t>tra 50 e 54 anni</t>
  </si>
  <si>
    <t>tra 55 e 59 anni</t>
  </si>
  <si>
    <t>tra 60 e 64 anni</t>
  </si>
  <si>
    <t>U</t>
  </si>
  <si>
    <t>D</t>
  </si>
  <si>
    <t>tra 0 e 5 anni</t>
  </si>
  <si>
    <t>tra 6 e 10 anni</t>
  </si>
  <si>
    <t xml:space="preserve"> tra 11 e 15 anni</t>
  </si>
  <si>
    <t>tra 16 e 20 anni</t>
  </si>
  <si>
    <t>tra 21 e 25 anni</t>
  </si>
  <si>
    <t>tra 26 e 30 anni</t>
  </si>
  <si>
    <t>tra 31 e 35 anni</t>
  </si>
  <si>
    <t>tra 36 e 40 anni</t>
  </si>
  <si>
    <t>Altre cause</t>
  </si>
  <si>
    <t>FUORI RUOLO</t>
  </si>
  <si>
    <t>(*) Escluso il personale comandato e quello fuori ruolo</t>
  </si>
  <si>
    <t>Codice</t>
  </si>
  <si>
    <t>CATEGORIA</t>
  </si>
  <si>
    <t>Importo</t>
  </si>
  <si>
    <t>IRAP</t>
  </si>
  <si>
    <t>ALTRE SPESE</t>
  </si>
  <si>
    <t xml:space="preserve">Voci di spesa </t>
  </si>
  <si>
    <t xml:space="preserve"> </t>
  </si>
  <si>
    <t>TREDICESIMA MENSILTA'</t>
  </si>
  <si>
    <t>RECUPERI DERIVANTI DA ASSENZE, RITARDI, ECC.</t>
  </si>
  <si>
    <t>cod.</t>
  </si>
  <si>
    <t>VALLE D'AOSTA</t>
  </si>
  <si>
    <t>PIEMONTE</t>
  </si>
  <si>
    <t>LOMBARDIA</t>
  </si>
  <si>
    <t>VENETO</t>
  </si>
  <si>
    <t>LIGURIA</t>
  </si>
  <si>
    <t>EMILIA ROMAGNA</t>
  </si>
  <si>
    <t>TOSCANA</t>
  </si>
  <si>
    <t>UMBRIA</t>
  </si>
  <si>
    <t>MARCHE</t>
  </si>
  <si>
    <t>LAZIO</t>
  </si>
  <si>
    <t>MOLISE</t>
  </si>
  <si>
    <t>CAMPANIA</t>
  </si>
  <si>
    <t>PUGLIA</t>
  </si>
  <si>
    <t>BASILICATA</t>
  </si>
  <si>
    <t>CALABRIA</t>
  </si>
  <si>
    <t>SICILIA</t>
  </si>
  <si>
    <t>SARDEGNA</t>
  </si>
  <si>
    <t>DESCRIZIONE</t>
  </si>
  <si>
    <t>CODICE</t>
  </si>
  <si>
    <t>In part-time
fino al 50%</t>
  </si>
  <si>
    <t>In part-time
oltre il 50%</t>
  </si>
  <si>
    <t>A tempo determinato (*)</t>
  </si>
  <si>
    <t>Formazione lavoro (*)</t>
  </si>
  <si>
    <t>L.S.U.(*)</t>
  </si>
  <si>
    <t>(*) dati su base annua</t>
  </si>
  <si>
    <t>(**) presenti al 31 dicembre anno corrente</t>
  </si>
  <si>
    <t xml:space="preserve">TOTALE
USCITI
</t>
  </si>
  <si>
    <t>qualifica/posizione economica/profilo</t>
  </si>
  <si>
    <t>qualifica / posiz.economica/profilo</t>
  </si>
  <si>
    <t>PERSONALE DELL'AMMINISTRAZIONE (* )</t>
  </si>
  <si>
    <t>PERSONALE ESTERNO ( ** )</t>
  </si>
  <si>
    <t>(**) Personale comandato e fuori ruolo da altre Amministrazioni</t>
  </si>
  <si>
    <t>qualifica/posiz. economica/profilo</t>
  </si>
  <si>
    <t>qualifica/posiz.economica/profilo</t>
  </si>
  <si>
    <t>STIPENDIO</t>
  </si>
  <si>
    <t>EROGAZIONE BUONI PASTO</t>
  </si>
  <si>
    <t>INDENNITA' DI MISSIONE E TRASFERIMENTO</t>
  </si>
  <si>
    <t>EQUO INDENNIZZO AL PERSONALE</t>
  </si>
  <si>
    <t>BENESSERE DEL PERSONALE</t>
  </si>
  <si>
    <t>FORMAZIONE DEL PERSONALE</t>
  </si>
  <si>
    <t>Qualifica/Posiz.economica/Profilo</t>
  </si>
  <si>
    <t>ASSEGNI PER IL NUCLEO FAMILIARE</t>
  </si>
  <si>
    <t xml:space="preserve">(**) dato pari alla somma del personale a tempo pieno + in part-time fino al 50% + in part-time oltre il 50% </t>
  </si>
  <si>
    <t xml:space="preserve">(*) Escluso il personale comandato e quello fuori ruolo </t>
  </si>
  <si>
    <t xml:space="preserve">TOTALE </t>
  </si>
  <si>
    <t>L005</t>
  </si>
  <si>
    <t>P015</t>
  </si>
  <si>
    <t>P016</t>
  </si>
  <si>
    <t>P062</t>
  </si>
  <si>
    <t>L105</t>
  </si>
  <si>
    <t>P065</t>
  </si>
  <si>
    <t>P071</t>
  </si>
  <si>
    <t>P055</t>
  </si>
  <si>
    <t>P058</t>
  </si>
  <si>
    <t>P061</t>
  </si>
  <si>
    <t>P090</t>
  </si>
  <si>
    <t>P030</t>
  </si>
  <si>
    <t>L010</t>
  </si>
  <si>
    <t>L011</t>
  </si>
  <si>
    <t>L020</t>
  </si>
  <si>
    <t>L090</t>
  </si>
  <si>
    <t>L100</t>
  </si>
  <si>
    <t>COPERTURE ASSICURATIVE</t>
  </si>
  <si>
    <t>L107</t>
  </si>
  <si>
    <t>L110</t>
  </si>
  <si>
    <t>L108</t>
  </si>
  <si>
    <t>TOTALE ENTRATI</t>
  </si>
  <si>
    <t>fino a 19 anni</t>
  </si>
  <si>
    <t>tra 20 e 24 anni</t>
  </si>
  <si>
    <t>ENTRATI in: qualifica/posizione economica/profilo</t>
  </si>
  <si>
    <t>(a) personale a tempo indeterminato al quale viene applicato un contratto di lavoro di tipo privatistico (es.:tipografico,chimico,edile,metalmeccanico,portierato, ecc.)</t>
  </si>
  <si>
    <t>ARRETRATI  ANNI PRECEDENTI</t>
  </si>
  <si>
    <t>NUMERO DI MENSILITA' (**)</t>
  </si>
  <si>
    <t>(*) gli importi vanno indicati in EURO, senza cifre decimali (cfr. circolare: "istruzioni generali e specifiche di comparto")</t>
  </si>
  <si>
    <t>(**) il numero delle mensilità va espresso con 2 cifre decimali (cfr. circolare: "istruzioni generali e specifiche di comparto ")</t>
  </si>
  <si>
    <t>(*) tutti gli importi vanno indicati in euro e al netto degli oneri sociali (contributi ed IRAP) a carico del datore di lavoro</t>
  </si>
  <si>
    <t xml:space="preserve">COMANDATI / DISTACCATI </t>
  </si>
  <si>
    <t>L109</t>
  </si>
  <si>
    <t>ALTRE ASSENZE NON RETRIBUITE</t>
  </si>
  <si>
    <t>Coerenza</t>
  </si>
  <si>
    <t>Tot Cessati (Tab 5)</t>
  </si>
  <si>
    <t>Tot Entrati (Tab 4)</t>
  </si>
  <si>
    <t>Tot Usciti (Tab 4)</t>
  </si>
  <si>
    <t>A tempo determinato</t>
  </si>
  <si>
    <t>Formazione lavoro</t>
  </si>
  <si>
    <t>L.S.U</t>
  </si>
  <si>
    <t>Scostamento in valore assoluto</t>
  </si>
  <si>
    <t>Codici qualifiche</t>
  </si>
  <si>
    <t>Qualifiche</t>
  </si>
  <si>
    <t>a</t>
  </si>
  <si>
    <t>b</t>
  </si>
  <si>
    <t>c</t>
  </si>
  <si>
    <t>d</t>
  </si>
  <si>
    <t>e</t>
  </si>
  <si>
    <t>f=(a-b+c-d+e)</t>
  </si>
  <si>
    <t>g</t>
  </si>
  <si>
    <t>f=g</t>
  </si>
  <si>
    <t xml:space="preserve">Coerenza </t>
  </si>
  <si>
    <t>Presenti per classi di anzianità di servizio (Tab 7)</t>
  </si>
  <si>
    <t>Presenti per classi di età (Tab 8)</t>
  </si>
  <si>
    <t>Fuori ruolo esterni (IN) (Tab 3)</t>
  </si>
  <si>
    <t>Comandati esterni (IN)  (Tab 3)</t>
  </si>
  <si>
    <t>Fuori ruolo interni (OUT) (Tab 3)</t>
  </si>
  <si>
    <t>h</t>
  </si>
  <si>
    <t>i</t>
  </si>
  <si>
    <t>l</t>
  </si>
  <si>
    <t>m</t>
  </si>
  <si>
    <t>n</t>
  </si>
  <si>
    <t>p</t>
  </si>
  <si>
    <t>Cessati (Tab 5)</t>
  </si>
  <si>
    <t xml:space="preserve"> Assunti (Tab 6)</t>
  </si>
  <si>
    <t>Entrati (Tab 4)</t>
  </si>
  <si>
    <t>Usciti (Tab 4)</t>
  </si>
  <si>
    <t>f</t>
  </si>
  <si>
    <t>f&lt;=e</t>
  </si>
  <si>
    <t>a=b=c=d</t>
  </si>
  <si>
    <t>(e=f=g=h)</t>
  </si>
  <si>
    <t>Comandati interni (OUT) (Tab 3)</t>
  </si>
  <si>
    <t>(*) Solo per le tipologie tenute all'invio della TABELLA 10</t>
  </si>
  <si>
    <t>Totale personale distribuito per Regioni  (calcolato)</t>
  </si>
  <si>
    <t>Totale personale distribuito per Regioni (Tab 10)</t>
  </si>
  <si>
    <t>e=(a-b+c+d)</t>
  </si>
  <si>
    <t xml:space="preserve">Consistenza nella qualifica </t>
  </si>
  <si>
    <t>Spesa (Tab 14)</t>
  </si>
  <si>
    <t>Compresenza</t>
  </si>
  <si>
    <t>Qualifica</t>
  </si>
  <si>
    <t>Mensilità (Tab 12)</t>
  </si>
  <si>
    <t>c=(b/a*12)</t>
  </si>
  <si>
    <t>e=(c-d)</t>
  </si>
  <si>
    <t>f=(e/d*100)</t>
  </si>
  <si>
    <t>Spesa per stipendio (Tab 12)</t>
  </si>
  <si>
    <t>Spesa media annua per stipendio (per 12 mensilità)</t>
  </si>
  <si>
    <t>Importi stipendiali contrattuali annui (per 12 mensilità)</t>
  </si>
  <si>
    <t>Scostamento percentuale</t>
  </si>
  <si>
    <t>(*) Personale comandato e fuori ruolo verso altre Amministrazioni</t>
  </si>
  <si>
    <t>Tot Assunti (Tab 6)</t>
  </si>
  <si>
    <t>Controlli di coerenza</t>
  </si>
  <si>
    <t>IMPORTI</t>
  </si>
  <si>
    <t>Codici spesa</t>
  </si>
  <si>
    <t>Importi comunicati (Tab 14)</t>
  </si>
  <si>
    <t>Incidenza percentuale: Importi comunicati Tab 14 / (Tabella 12 + Tabella 13)</t>
  </si>
  <si>
    <t>N U M E R O   D I   D I P E N D E N T I</t>
  </si>
  <si>
    <t xml:space="preserve">N U M E R O   D I   D I P E N D E N T I </t>
  </si>
  <si>
    <t xml:space="preserve">N U M E R O   D I   D I P E N D E N T I  </t>
  </si>
  <si>
    <t>N U M E R O   G I O R N I   D I   A S S E N Z A</t>
  </si>
  <si>
    <t xml:space="preserve">USCITI da: 
qualifica/posizione economica/profilo
</t>
  </si>
  <si>
    <t xml:space="preserve">Codice
</t>
  </si>
  <si>
    <t>V O C I   D I   S P E S A</t>
  </si>
  <si>
    <t>U O M I N I</t>
  </si>
  <si>
    <t>D O N N E</t>
  </si>
  <si>
    <t>Tavola di controllo degli usciti dalla qualifica di Tabella 4 (Squadratura 4)</t>
  </si>
  <si>
    <t>Tavola di congruenza tra spesa media annua per stipendio (Tabella 12) e importi stipendiali contrattuali</t>
  </si>
  <si>
    <t>Tavola di controllo dei valori di spesa di Tabella 14: incidenza % di ciascun valore sul totale delle spese di Tabella 12+Tabella 13</t>
  </si>
  <si>
    <t>TOTALE TABELLA 12 + TABELLA 13:</t>
  </si>
  <si>
    <t>PARTITA IVA DELL'ENTE</t>
  </si>
  <si>
    <t xml:space="preserve">CODICE FISCALE DELL'ENTE </t>
  </si>
  <si>
    <t>TELEFONO</t>
  </si>
  <si>
    <t xml:space="preserve">FAX </t>
  </si>
  <si>
    <t>E-MAIL</t>
  </si>
  <si>
    <t>INDIRIZZO</t>
  </si>
  <si>
    <t xml:space="preserve">VIA </t>
  </si>
  <si>
    <t>C.A.P.</t>
  </si>
  <si>
    <t>PRESIDENTE:</t>
  </si>
  <si>
    <t>COGNOME</t>
  </si>
  <si>
    <t>NOME</t>
  </si>
  <si>
    <t>COMPONENTI:</t>
  </si>
  <si>
    <t>I modelli debbono essere sottoscritti dai revisori dei conti</t>
  </si>
  <si>
    <t>FAX</t>
  </si>
  <si>
    <t>SI</t>
  </si>
  <si>
    <t>NO</t>
  </si>
  <si>
    <t>Non compilare</t>
  </si>
  <si>
    <t>numero contratti</t>
  </si>
  <si>
    <t>numero unità</t>
  </si>
  <si>
    <t>0D6000</t>
  </si>
  <si>
    <t>050000</t>
  </si>
  <si>
    <t>049000</t>
  </si>
  <si>
    <t>046000</t>
  </si>
  <si>
    <t>045000</t>
  </si>
  <si>
    <t>043000</t>
  </si>
  <si>
    <t>042000</t>
  </si>
  <si>
    <t>034000</t>
  </si>
  <si>
    <t>032000</t>
  </si>
  <si>
    <t>000061</t>
  </si>
  <si>
    <t>Categoria D</t>
  </si>
  <si>
    <t>CD</t>
  </si>
  <si>
    <t>Categoria C</t>
  </si>
  <si>
    <t>CC</t>
  </si>
  <si>
    <t>Categoria B</t>
  </si>
  <si>
    <t>CB</t>
  </si>
  <si>
    <t>Personale contrattista</t>
  </si>
  <si>
    <t>PC</t>
  </si>
  <si>
    <t>F998</t>
  </si>
  <si>
    <t>F999</t>
  </si>
  <si>
    <t>U998</t>
  </si>
  <si>
    <t xml:space="preserve">COMPENSI PRODUTTIVITA' </t>
  </si>
  <si>
    <t>I207</t>
  </si>
  <si>
    <t>I212</t>
  </si>
  <si>
    <t>S604</t>
  </si>
  <si>
    <t>S630</t>
  </si>
  <si>
    <t>S998</t>
  </si>
  <si>
    <t>S999</t>
  </si>
  <si>
    <t>T101</t>
  </si>
  <si>
    <t>*</t>
  </si>
  <si>
    <t>*1</t>
  </si>
  <si>
    <t>*2</t>
  </si>
  <si>
    <t>*6</t>
  </si>
  <si>
    <t>*7</t>
  </si>
  <si>
    <t>ND</t>
  </si>
  <si>
    <t>E-Mail</t>
  </si>
  <si>
    <t>*8</t>
  </si>
  <si>
    <t>*3</t>
  </si>
  <si>
    <t>*4</t>
  </si>
  <si>
    <t>*15</t>
  </si>
  <si>
    <t>ESTERO</t>
  </si>
  <si>
    <t>FRIULI VENEZIA GIULIA</t>
  </si>
  <si>
    <t>PROVINCIA AUTONOMA TRENTO</t>
  </si>
  <si>
    <t>PROVINCIA AUTONOMA BOLZANO</t>
  </si>
  <si>
    <t>N° Civico</t>
  </si>
  <si>
    <t>F00</t>
  </si>
  <si>
    <t>SC1</t>
  </si>
  <si>
    <t>SS2</t>
  </si>
  <si>
    <t>Totale uomini e donne (Tab T5)</t>
  </si>
  <si>
    <t>Totale della Tabella T13</t>
  </si>
  <si>
    <t>TABELLE 12 -13 ASSENTI</t>
  </si>
  <si>
    <t>Totale usciti (Tab T4)</t>
  </si>
  <si>
    <t>Mensilità (Tab T12)</t>
  </si>
  <si>
    <t>Tavola di congruenza tra Presenti al 31-12 del totale  uomini e donne o Totale uomini e donne Tabella 5 e mensilità della Tabella T12</t>
  </si>
  <si>
    <t>Congruenza (se a&gt;0 o b&gt;0 o c&gt;0 e d&gt;0 )</t>
  </si>
  <si>
    <t>1.0</t>
  </si>
  <si>
    <t>051489</t>
  </si>
  <si>
    <t>058000</t>
  </si>
  <si>
    <t>057000</t>
  </si>
  <si>
    <t>056000</t>
  </si>
  <si>
    <t>0B7A00</t>
  </si>
  <si>
    <t>0B7000</t>
  </si>
  <si>
    <t>038490</t>
  </si>
  <si>
    <t>038491</t>
  </si>
  <si>
    <t>037492</t>
  </si>
  <si>
    <t>037493</t>
  </si>
  <si>
    <t>036494</t>
  </si>
  <si>
    <t>036495</t>
  </si>
  <si>
    <t>055000</t>
  </si>
  <si>
    <t>054000</t>
  </si>
  <si>
    <t>0A5000</t>
  </si>
  <si>
    <t>028000</t>
  </si>
  <si>
    <t>027000</t>
  </si>
  <si>
    <t>025000</t>
  </si>
  <si>
    <t>053000</t>
  </si>
  <si>
    <t>000096</t>
  </si>
  <si>
    <t>0D0102</t>
  </si>
  <si>
    <t>0D0103</t>
  </si>
  <si>
    <t>0D0485</t>
  </si>
  <si>
    <t>0D0104</t>
  </si>
  <si>
    <t>0D0097</t>
  </si>
  <si>
    <t>0D0098</t>
  </si>
  <si>
    <t>0D0095</t>
  </si>
  <si>
    <t>0D6A00</t>
  </si>
  <si>
    <t>052486</t>
  </si>
  <si>
    <t>052487</t>
  </si>
  <si>
    <t>051488</t>
  </si>
  <si>
    <t>Categoria A</t>
  </si>
  <si>
    <t>CA</t>
  </si>
  <si>
    <t>PERSONALE SCOLASTICO</t>
  </si>
  <si>
    <t>ARRETRATI ANNI PRECEDENTI</t>
  </si>
  <si>
    <t>STRAORDINARIO</t>
  </si>
  <si>
    <t>I125</t>
  </si>
  <si>
    <t>I143</t>
  </si>
  <si>
    <t>I222</t>
  </si>
  <si>
    <t>S615</t>
  </si>
  <si>
    <t>F400</t>
  </si>
  <si>
    <t>F403</t>
  </si>
  <si>
    <t>F404</t>
  </si>
  <si>
    <t>F405</t>
  </si>
  <si>
    <t>F406</t>
  </si>
  <si>
    <t>F408</t>
  </si>
  <si>
    <t>F411</t>
  </si>
  <si>
    <t>F556</t>
  </si>
  <si>
    <t>NF</t>
  </si>
  <si>
    <t>*16</t>
  </si>
  <si>
    <t>ATTENZIONE: non compilare in caso in cui l'ente non è tenuto all'invio</t>
  </si>
  <si>
    <t>Congruenza          ( a&gt;0 e b&gt;0)</t>
  </si>
  <si>
    <t>CITTA'                                                     PROV.</t>
  </si>
  <si>
    <t>TABELLE COMPILATE
(attenzione: la seguente sezione verrà compilata in automatico; all'atto dell'inserimento dei dati nel kit verrà annerita la relativa casella)</t>
  </si>
  <si>
    <t>Sede autonoma</t>
  </si>
  <si>
    <t>% di superficie in area montana</t>
  </si>
  <si>
    <t>% di popolazione residente in area montana</t>
  </si>
  <si>
    <t>Fino a 1 anno</t>
  </si>
  <si>
    <t>Da 1 a 2 anni</t>
  </si>
  <si>
    <t>Da 2 a 3 anni</t>
  </si>
  <si>
    <t>Oltre i 3 anni</t>
  </si>
  <si>
    <t>Uomo / Donna</t>
  </si>
  <si>
    <t>XX</t>
  </si>
  <si>
    <t>Personale con contratti di collaborazione coordinata e continuativa</t>
  </si>
  <si>
    <t>Tempo determinato</t>
  </si>
  <si>
    <t>TOTALE Tempo determinato</t>
  </si>
  <si>
    <t>Z01</t>
  </si>
  <si>
    <t>SI_1A</t>
  </si>
  <si>
    <t>T2A</t>
  </si>
  <si>
    <t>CoCoCo</t>
  </si>
  <si>
    <t>*17</t>
  </si>
  <si>
    <t>Indicare il numero dei contratti co.co.co. attivi nel corso dell’anno secondo la tipologia:</t>
  </si>
  <si>
    <t>*19</t>
  </si>
  <si>
    <t>*20</t>
  </si>
  <si>
    <t>Convenzioni esterni (IN) (Tab 3)</t>
  </si>
  <si>
    <t>Convenzioni interni (OUT) (Tab 3)</t>
  </si>
  <si>
    <t>o</t>
  </si>
  <si>
    <t>q</t>
  </si>
  <si>
    <t>r</t>
  </si>
  <si>
    <t>t</t>
  </si>
  <si>
    <t>Totale (Uomini + donne della sezione "Personale Esterno" COMANDATI / DISTACCATI + FUORI RUOLO+CONVENZIONI)+Mensilità medie da T12(mensilità /12)</t>
  </si>
  <si>
    <t>Quanti dei contratti co.co.co. attivi nel corso dell’anno hanno un compenso maggiore di € 20.000?</t>
  </si>
  <si>
    <r>
      <t xml:space="preserve">I co.co.co. attivi nel corso dell’anno quante persone diverse hanno riguardato? </t>
    </r>
    <r>
      <rPr>
        <b/>
        <i/>
        <sz val="11"/>
        <rFont val="Arial"/>
        <family val="2"/>
      </rPr>
      <t>(Poiché con una stessa persona possono essere stipulati più co.co.co. si chiede di specificare il n. delle persone che hanno avuto almeno un co.co.co. attivo nel corso dell’anno)</t>
    </r>
  </si>
  <si>
    <t xml:space="preserve">   Suddividere le persone con cui sono stati stipulati uno o più contratti co.co.co. in base ai titoli di studio:</t>
  </si>
  <si>
    <t>E’ stato istituito un ufficio / servizio disciplinare?</t>
  </si>
  <si>
    <t>*21</t>
  </si>
  <si>
    <t>RILEVAZIONE CEPEL</t>
  </si>
  <si>
    <t xml:space="preserve">     </t>
  </si>
  <si>
    <t>Altro</t>
  </si>
  <si>
    <t>valore</t>
  </si>
  <si>
    <t xml:space="preserve">Assunzione per chiamata diretta (L. 68/99 - categorie protette) </t>
  </si>
  <si>
    <t xml:space="preserve">Assunzione per chiamata numerica (L. 68/99 - categorie protette) </t>
  </si>
  <si>
    <t>I422</t>
  </si>
  <si>
    <t>Passaggi da altra Amministrazione dello stesso comparto (*)</t>
  </si>
  <si>
    <t>Passaggi da altra Amministrazione di altro comparto (*)</t>
  </si>
  <si>
    <t>Tavola di controllo dei Valori Medi</t>
  </si>
  <si>
    <t>valori medi assenze</t>
  </si>
  <si>
    <r>
      <t xml:space="preserve">mensilità medie </t>
    </r>
    <r>
      <rPr>
        <b/>
        <sz val="7"/>
        <rFont val="Arial"/>
        <family val="2"/>
      </rPr>
      <t xml:space="preserve">
</t>
    </r>
    <r>
      <rPr>
        <sz val="7"/>
        <rFont val="Arial"/>
        <family val="2"/>
      </rPr>
      <t>(mensilità/12)</t>
    </r>
  </si>
  <si>
    <t>ASSENZE RETRIBUITE</t>
  </si>
  <si>
    <t>ASSENZE NON RETRIBUITE</t>
  </si>
  <si>
    <r>
      <t xml:space="preserve">TOTALE VOCI STIPENDIALI
TABELLA 12
</t>
    </r>
    <r>
      <rPr>
        <sz val="7"/>
        <rFont val="Small Fonts"/>
        <family val="2"/>
      </rPr>
      <t>(esclusi arr. anni prec. e recuperi)</t>
    </r>
  </si>
  <si>
    <t>INDENNITA' FISSE</t>
  </si>
  <si>
    <t>ALTRE ACCESSORIE</t>
  </si>
  <si>
    <r>
      <t xml:space="preserve">TOTALE INDENNITA' FISSE ED ACCESSORIE
TABELLA 13
</t>
    </r>
    <r>
      <rPr>
        <sz val="7"/>
        <rFont val="Small Fonts"/>
        <family val="2"/>
      </rPr>
      <t>(esclusi arretrati anni precedenti)</t>
    </r>
  </si>
  <si>
    <t>COMPONENTI COLLEGIO DEI REVISORI (O ORGANO EQUIVALENTE)</t>
  </si>
  <si>
    <t>RESPONSABILE DEL PROCEDIMENTO AMMINISTRATIVO DI CUI ALLA LEGGE 7/8/90, N. 241 CAPO II°</t>
  </si>
  <si>
    <t>Anzianità di servizio maturata al 31/12, anche in modo non continuativo, nell'attuale o in altre amministrazioni</t>
  </si>
  <si>
    <t>SEGRETARIO A</t>
  </si>
  <si>
    <t>SEGRETARIO B</t>
  </si>
  <si>
    <t>SEGRETARIO C</t>
  </si>
  <si>
    <t>DIRETTORE  GENERALE</t>
  </si>
  <si>
    <t>POSIZ. ECON. D6 - PROFILI ACCESSO D3</t>
  </si>
  <si>
    <t>POSIZ. ECON. D6 - PROFILO ACCESSO D1</t>
  </si>
  <si>
    <t>POSIZIONE ECONOMICA DI ACCESSO D3</t>
  </si>
  <si>
    <t>POSIZIONE ECONOMICA D3</t>
  </si>
  <si>
    <t>POSIZIONE ECONOMICA D2</t>
  </si>
  <si>
    <t>POSIZIONE ECONOMICA DI ACCESSO D1</t>
  </si>
  <si>
    <t>POSIZIONE ECONOMICA C5</t>
  </si>
  <si>
    <t>POSIZIONE ECONOMICA C4</t>
  </si>
  <si>
    <t>POSIZIONE ECONOMICA C3</t>
  </si>
  <si>
    <t>POSIZIONE ECONOMICA C2</t>
  </si>
  <si>
    <t>POSIZIONE ECONOMICA DI ACCESSO C1</t>
  </si>
  <si>
    <t>POSIZ. ECON. B7 - PROFILO ACCESSO B3</t>
  </si>
  <si>
    <t>POSIZ. ECON. B7 - PROFILO  ACCESSO B1</t>
  </si>
  <si>
    <t>POSIZIONE ECONOMICA DI ACCESSO B3</t>
  </si>
  <si>
    <t>POSIZIONE ECONOMICA B3</t>
  </si>
  <si>
    <t>POSIZIONE ECONOMICA B2</t>
  </si>
  <si>
    <t>POSIZIONE ECONOMICA DI ACCESSO B1</t>
  </si>
  <si>
    <t>POSIZIONE ECONOMICA A5</t>
  </si>
  <si>
    <t>POSIZIONE ECONOMICA A4</t>
  </si>
  <si>
    <t>POSIZIONE ECONOMICA A3</t>
  </si>
  <si>
    <t>POSIZIONE ECONOMICA A2</t>
  </si>
  <si>
    <t>POSIZIONE ECONOMICA DI ACCESSO A1</t>
  </si>
  <si>
    <t>CONTRATTISTI (a)</t>
  </si>
  <si>
    <t>SCIOPERO</t>
  </si>
  <si>
    <t>Tavola di compresenza tra importi comunicati in tab.13 e mensilità (tab.12) o personale esterno (tab.3)</t>
  </si>
  <si>
    <t>INFORMAZIONI ISTITUZIONE</t>
  </si>
  <si>
    <t>DOMANDE PRESENTI IN CIRCOLARE</t>
  </si>
  <si>
    <t>Collocamento a riposo per limiti di età</t>
  </si>
  <si>
    <t>Dimissioni (con diritto a pensione)</t>
  </si>
  <si>
    <t>Passaggi per esternalizzazioni (*)</t>
  </si>
  <si>
    <t>ALTRE SPESE ACCESSORIE ED INDENNITA' VARIE</t>
  </si>
  <si>
    <t>SEGRETARIO GENERALE CCIAA</t>
  </si>
  <si>
    <t>Nomina da concorso</t>
  </si>
  <si>
    <t>C01</t>
  </si>
  <si>
    <t>C03</t>
  </si>
  <si>
    <t>C17</t>
  </si>
  <si>
    <t>C18</t>
  </si>
  <si>
    <t>C19</t>
  </si>
  <si>
    <t>C99</t>
  </si>
  <si>
    <t>A23</t>
  </si>
  <si>
    <t>A24</t>
  </si>
  <si>
    <t>A27</t>
  </si>
  <si>
    <t>A28</t>
  </si>
  <si>
    <t>A29</t>
  </si>
  <si>
    <t>A30</t>
  </si>
  <si>
    <t>A31</t>
  </si>
  <si>
    <t>S710</t>
  </si>
  <si>
    <t>COMPENSO AGGIUNTIVO AL SEGR. COMUNALE QUALE DIR. GENERALE</t>
  </si>
  <si>
    <t>L'Ente fa parte di una "Unione di Comuni", ai sensi dell'art. 32 del d.lgs 267/2000 o di analoghe disposizioni delle Regioni e Province Autonome?</t>
  </si>
  <si>
    <t>NUMERO UNITA'</t>
  </si>
  <si>
    <t>Numero di persone in ingresso o uscita con mobilità fra pubblico e privato ex art. 23 bis comma 7 d.lgs.165/2001 o di analoghe disposizioni delle Regioni e Province Autonome</t>
  </si>
  <si>
    <t>Inserire in ciascuna riga il codice di un Comune che partecipa all'Ente (vedi ‘LISTA ISTITUZIONI’ scaricata con il KIT)</t>
  </si>
  <si>
    <t>F934</t>
  </si>
  <si>
    <t>F940</t>
  </si>
  <si>
    <t>F942</t>
  </si>
  <si>
    <t>Totale Risorse fisse</t>
  </si>
  <si>
    <t>Risorse variabili</t>
  </si>
  <si>
    <t>F943</t>
  </si>
  <si>
    <t>F944</t>
  </si>
  <si>
    <t>F995</t>
  </si>
  <si>
    <t>SOMME NON UTILIZZATE FONDO ANNO PRECEDENTE</t>
  </si>
  <si>
    <t>Totale Risorse variabili</t>
  </si>
  <si>
    <t>ALTRI PERMESSI ED ASSENZE RETRIBUITE</t>
  </si>
  <si>
    <t>ASS.RETRIB.:MATERNITA',CONGEDO PARENT.,MALATTIA FIGLIO</t>
  </si>
  <si>
    <t>LEGGE 104/92</t>
  </si>
  <si>
    <t>ASSENZE PER MALATTIA RETRIBUITE</t>
  </si>
  <si>
    <t>M04</t>
  </si>
  <si>
    <t>PR4</t>
  </si>
  <si>
    <t>PR5</t>
  </si>
  <si>
    <t>PR6</t>
  </si>
  <si>
    <t>ABRUZZO</t>
  </si>
  <si>
    <t xml:space="preserve">GESTIONE MENSE </t>
  </si>
  <si>
    <t>SOMME CORRISPOSTE AD AGENZIA DI SOMMINISTRAZIONE(INTERINALI)</t>
  </si>
  <si>
    <t>INCARICHI LIBERO PROFESSIONALI/STUDIO/RICERCA/CONSULENZA</t>
  </si>
  <si>
    <t>RETRIBUZIONI PERSONALE  A TEMPO DETERMINATO</t>
  </si>
  <si>
    <t>RETRIBUZIONI PERSONALE CON CONTRATTO DI FORMAZIONE E LAVORO</t>
  </si>
  <si>
    <t>CONTRIBUTI A CARICO DELL'AMM.NE SU COMP. FISSE E ACCESSORIE</t>
  </si>
  <si>
    <t>QUOTE ANNUE ACCANTONAMENTO TFR O ALTRA IND. FINE SERVIZIO</t>
  </si>
  <si>
    <t>ONERI PER I CONTRATTI DI SOMMINISTRAZIONE(INTERINALI)</t>
  </si>
  <si>
    <t>COMPENSI PER PERSONALE ADDETTO AI LAVORI SOCIALMENTE UTILI</t>
  </si>
  <si>
    <t>S720</t>
  </si>
  <si>
    <t>controllo DOT. ORG.</t>
  </si>
  <si>
    <t>b=&lt;a</t>
  </si>
  <si>
    <r>
      <rPr>
        <i/>
        <sz val="10"/>
        <rFont val="Arial"/>
        <family val="2"/>
      </rPr>
      <t>Tipologia di Ente:</t>
    </r>
    <r>
      <rPr>
        <b/>
        <sz val="10"/>
        <rFont val="Arial"/>
        <family val="2"/>
      </rPr>
      <t xml:space="preserve"> COMUNI </t>
    </r>
    <r>
      <rPr>
        <sz val="10"/>
        <rFont val="Arial"/>
        <family val="2"/>
      </rPr>
      <t>e</t>
    </r>
    <r>
      <rPr>
        <b/>
        <sz val="10"/>
        <rFont val="Arial"/>
        <family val="2"/>
      </rPr>
      <t xml:space="preserve"> PROVINCE</t>
    </r>
  </si>
  <si>
    <t>Numero di unità appartenenti alla polizia locale (SI_1A)</t>
  </si>
  <si>
    <t>Categoria</t>
  </si>
  <si>
    <t>Dirigenti</t>
  </si>
  <si>
    <r>
      <rPr>
        <i/>
        <sz val="10"/>
        <rFont val="Arial"/>
        <family val="2"/>
      </rPr>
      <t>Tipologia di Ente:</t>
    </r>
    <r>
      <rPr>
        <b/>
        <sz val="10"/>
        <rFont val="Arial"/>
        <family val="2"/>
      </rPr>
      <t xml:space="preserve"> UNIONE di COMUNI</t>
    </r>
  </si>
  <si>
    <r>
      <rPr>
        <i/>
        <sz val="10"/>
        <rFont val="Arial"/>
        <family val="2"/>
      </rPr>
      <t>Tipologia di Ente:</t>
    </r>
    <r>
      <rPr>
        <b/>
        <sz val="10"/>
        <rFont val="Arial"/>
        <family val="2"/>
      </rPr>
      <t xml:space="preserve"> COMUNITA' MONTANE</t>
    </r>
  </si>
  <si>
    <t>POSIZIONE E RISULTATO ANNO 1998 (ART.26 C.1 L. A CCNL 98-01)</t>
  </si>
  <si>
    <t>INCREMENTI CCNL 98-01 (ART. 26 C. 1 L. D)</t>
  </si>
  <si>
    <t>INCREMENTI CCNL 02-05 (ART. 23. CC. 1,3)</t>
  </si>
  <si>
    <t>INCREMENTI CCNL 04-05 (ART. 4 CC. 1,4)</t>
  </si>
  <si>
    <t>INCREMENTI CCNL 06-09 (ART. 16 CC. 1,4)</t>
  </si>
  <si>
    <t>INCREMENTI CCNL 08-09 (ART. 5 CC. 1,4)</t>
  </si>
  <si>
    <t>PROCESSI DI DECENTRAMENTO (ART. 26 C. 1 L. F CCNL 98-01)</t>
  </si>
  <si>
    <t>RIA E MAT. EC. PERS. CESS. (ART. 26 C. 1 L. G CCNL 98-01)</t>
  </si>
  <si>
    <t>INCR DOT ORG/RIORG STAB SERV (ART26 C3 - P.FISSA CCNL 98-01)</t>
  </si>
  <si>
    <t>RID. STABILE ORG. DIRIG. (ART. 26 C. 5 CCNL 98-01)</t>
  </si>
  <si>
    <t>ALTRE RISORSE FISSE CON CARATTERE DI CERTEZZA E STABILITÀ</t>
  </si>
  <si>
    <t>DECURTAZIONE FONDO 3.356,97 EURO (ART.1 C.3 L. E CCNL 00-01)</t>
  </si>
  <si>
    <t>F65G</t>
  </si>
  <si>
    <t>F66G</t>
  </si>
  <si>
    <t>F67G</t>
  </si>
  <si>
    <t>F68G</t>
  </si>
  <si>
    <t>REC. EV. ICI (ART 3 C 57 L662/96, ART 59 C 1 L P DLGS446/97)</t>
  </si>
  <si>
    <t>INCARICHI DA SOGGETTI TERZI (ART. 20, CC. 3-5  CCNL 06-09)</t>
  </si>
  <si>
    <t>RIORGANIZZ. (ART. 26 C. 3 - PARTE VARIAB. CCNL 98-01)</t>
  </si>
  <si>
    <t>LIQUID. SENTENZE FAVOREVOLI ALL'ENTE (ART. 37 CCNL 98-01)</t>
  </si>
  <si>
    <t>INTEGRAZIONE 1,2% (ART. 26 C. 2 CCNL 98-01)</t>
  </si>
  <si>
    <t>ALTRE RISORSE VARIABILI</t>
  </si>
  <si>
    <t>U448</t>
  </si>
  <si>
    <t>U449</t>
  </si>
  <si>
    <t>F61G</t>
  </si>
  <si>
    <t>F62G</t>
  </si>
  <si>
    <t>F63G</t>
  </si>
  <si>
    <t>F64G</t>
  </si>
  <si>
    <t>UNICO IMPORTO CONSOLIDATO ANNO 2003 (ART.31 C. 2 CCNL 02-05)</t>
  </si>
  <si>
    <t>INCREMENTI CCNL 02-05 (ART. 32. CC. 1-2 C. 7)</t>
  </si>
  <si>
    <t>INCREMENTI CCNL 04-05 (ART. 4. CC. 1,4,5 PARTE FISSA)</t>
  </si>
  <si>
    <t>INCREMENTI CCNL 06-09 (ART. 8. CC. 2,5,6,7 PARTE FISSA)</t>
  </si>
  <si>
    <t>RIA E ASS. AD PERSONAM PERS. CESSATO (ART.4 C. 2 CCNL 00-01)</t>
  </si>
  <si>
    <t>INTEGR. FONDO CCIAA IN EQ. FIN. (ART.15 C.1 L. N CCNL 98-01)</t>
  </si>
  <si>
    <t>NUOVI SERVIZI O RIORG. (ART. 15 C. 5 - P.VARIAB. CCNL 98-01)</t>
  </si>
  <si>
    <t>INTEGRAZIONE 1,2% (ART. 15 C. 2 CCNL 98-01)</t>
  </si>
  <si>
    <t>U07A</t>
  </si>
  <si>
    <t>U08A</t>
  </si>
  <si>
    <t>U09A</t>
  </si>
  <si>
    <t>U10A</t>
  </si>
  <si>
    <t>INDENNITÀ DI COMPARTO QUOTA CARICO FONDO</t>
  </si>
  <si>
    <t>INDENNITÀ DI RESPONSABILITÀ / PROFESSIONALITÀ</t>
  </si>
  <si>
    <t>INDENNITÀ TURNO, RISCHIO, DISAGIO ECC.</t>
  </si>
  <si>
    <t>PRODUTTIVITÀ / PERFORMANCE COLLETTIVA</t>
  </si>
  <si>
    <t>PRODUTTIVITÀ / PERFORMANCE INDIVIDUALE</t>
  </si>
  <si>
    <t>ALTRI ISTITUTI NON COMPRESI FRA I PRECEDENTI</t>
  </si>
  <si>
    <t>ACCANT. ART. 32 C. 7 CCNL 02-05 (ALTE PROFESS.)</t>
  </si>
  <si>
    <t>(**) Escluse le poste connesse a sponsorizzazioni, recupero evasione ICI e quelle relative a quote per la progettazione, identificate in voci separate.</t>
  </si>
  <si>
    <r>
      <t xml:space="preserve">SPEC. DISP. DI LEGGE (ART. 20 C. 2 CCNL 06-09) </t>
    </r>
    <r>
      <rPr>
        <sz val="6"/>
        <rFont val="Arial"/>
        <family val="2"/>
      </rPr>
      <t>(**)</t>
    </r>
  </si>
  <si>
    <t>P098</t>
  </si>
  <si>
    <r>
      <t>ANOMALIE RISCONTRATE</t>
    </r>
    <r>
      <rPr>
        <b/>
        <sz val="10"/>
        <rFont val="Arial"/>
        <family val="2"/>
      </rPr>
      <t xml:space="preserve">
(attenzione: la seguente sezione verrà compilata in automatico; all'atto dell'inserimento dei dati nel kit verranno evidenziate eventuali anomalie)</t>
    </r>
  </si>
  <si>
    <r>
      <t xml:space="preserve">*(asterisco): si intende campo obbligatorio
</t>
    </r>
    <r>
      <rPr>
        <sz val="9"/>
        <rFont val="Arial"/>
        <family val="2"/>
      </rPr>
      <t>(1)</t>
    </r>
    <r>
      <rPr>
        <sz val="8"/>
        <rFont val="Arial"/>
        <family val="2"/>
      </rPr>
      <t xml:space="preserve">  </t>
    </r>
    <r>
      <rPr>
        <i/>
        <sz val="11"/>
        <rFont val="Arial"/>
        <family val="2"/>
      </rPr>
      <t>La SQ7 va considerata solo dagli Enti tenuti alla compilazione della SI_1A (Comuni, Province, Unioni di Comuni, Comunità Montane)</t>
    </r>
  </si>
  <si>
    <t>ATTENZIONE: LA PRESENTE TAVOLA VA CONSIDERATA SOLO DAGLI ENTI 
TENUTI ALL'INVIO DELLA SI_1A 
(Comuni, Province, Unioni di Comuni, Comunità Montane)</t>
  </si>
  <si>
    <t>Indicare il numero dei contratti di collaborazione coordinata e continuativa.</t>
  </si>
  <si>
    <t>Indicare il numero degli incarichi libero professionale, studio, ricerca e consulenza.</t>
  </si>
  <si>
    <t>Indicare il numero di contratti per prestazioni professionali consistenti nella resa di servizi o adempimenti obbligatori per legge.</t>
  </si>
  <si>
    <t>Indicare il totale delle somme trattenute ai dipendenti nell'anno di rilevazione per le assenze per malattia in applicazione dell'art. 71 del D.L. n. 112 del 25/06/2008 convertito in L. 133/2008.</t>
  </si>
  <si>
    <t>Congruenza (max scostamento consentito +/- 2%)</t>
  </si>
  <si>
    <t>v. a. di f&lt;=2%</t>
  </si>
  <si>
    <t>tra 41 e 43 anni</t>
  </si>
  <si>
    <t>44 e oltre</t>
  </si>
  <si>
    <t>tra 65 e 67 anni</t>
  </si>
  <si>
    <t>68 e oltre</t>
  </si>
  <si>
    <t>C25</t>
  </si>
  <si>
    <t>Licenziamenti</t>
  </si>
  <si>
    <t>O10</t>
  </si>
  <si>
    <t>CONGEDI RETRIBUITI AI SENSI DELL'ART.42,C.5, DLGS 151/2001</t>
  </si>
  <si>
    <t>ENTRATE CONTO TERZI O UTENZA O SPONSORIZZ. (ART 43 L 449/97)</t>
  </si>
  <si>
    <t>F50H</t>
  </si>
  <si>
    <t>RISPARMI DI GESTIONE (ART. 43 L. 449/1997)</t>
  </si>
  <si>
    <t>F51H</t>
  </si>
  <si>
    <t>RISPARMI EX ART. 2 C. 3 DLGS 165/2001</t>
  </si>
  <si>
    <t>F70A</t>
  </si>
  <si>
    <t>RIDET PER INCREM STIP (DICH CONG 14 CCNL 0205 e 1 CCNL08-09)</t>
  </si>
  <si>
    <t>INCREM. PER RID STAB STRAORD (ART. 14 C. 3 CCNL 98-01)</t>
  </si>
  <si>
    <t>F81H</t>
  </si>
  <si>
    <t>INCREM PER PROC DEC.TO TRASF FUNZ (ART15 C1 L.L CCNL 98-01)</t>
  </si>
  <si>
    <t>F82H</t>
  </si>
  <si>
    <t>INCREM DOTAZ ORG E RELAT COPERT (ART15 C5 P.FISSA CCNL98-01)</t>
  </si>
  <si>
    <t>F83H</t>
  </si>
  <si>
    <t>RISP DA STRAORD ACCERT A CONSUNT (ART14 C. 1 CCNL 98-01)</t>
  </si>
  <si>
    <t>LIQUID. SENTENZE FAVOREVOLI ALL'ENTE (ART. 27 CCNL 14.9.00)</t>
  </si>
  <si>
    <t>F88H</t>
  </si>
  <si>
    <t>PROGRESSIONI ORIZZONTALI STORICHE</t>
  </si>
  <si>
    <r>
      <t xml:space="preserve">SPECIFICHE DISP. DI LEGGE (ART. 15 C. 1 L. K CCNL 98-01) </t>
    </r>
    <r>
      <rPr>
        <sz val="6"/>
        <rFont val="Arial"/>
        <family val="2"/>
      </rPr>
      <t>(**)</t>
    </r>
  </si>
  <si>
    <t>DIRIGENTE FUORI D.O. art.110 c.2 TUEL</t>
  </si>
  <si>
    <t>ALTE SPECIALIZZ. FUORI D.O.art.110 c.2 TUEL</t>
  </si>
  <si>
    <t>DIRIGENTE A TEMPO INDETERMINATO</t>
  </si>
  <si>
    <t>0D0164</t>
  </si>
  <si>
    <t>0D0165</t>
  </si>
  <si>
    <t>ALTE SPECIALIZZ. IN D.O. art.110 c.1 TUEL</t>
  </si>
  <si>
    <t>0D0I95</t>
  </si>
  <si>
    <t>COLLABORATORE A T.D. ART. 90 TUEL (b)</t>
  </si>
  <si>
    <t>S740</t>
  </si>
  <si>
    <t>S750</t>
  </si>
  <si>
    <t>IND. DI VACANZA CONTRATTUALE</t>
  </si>
  <si>
    <t>IND. DI VIGILANZA</t>
  </si>
  <si>
    <t>INDENNITA DI COMPARTO</t>
  </si>
  <si>
    <t>COMPENSI ONERI RISCHI E DISAGI</t>
  </si>
  <si>
    <t>FONDO SPECIF. RESPONSAB.</t>
  </si>
  <si>
    <t>SOMME RIMBORSATE PER PERSONALE COMAND./FUORI RUOLO/IN CONV.</t>
  </si>
  <si>
    <t>ALTRE SOMME RIMBORSATE ALLE AMMINISTRAZIONI</t>
  </si>
  <si>
    <t>P074</t>
  </si>
  <si>
    <t>P099</t>
  </si>
  <si>
    <t>c=(b/a)</t>
  </si>
  <si>
    <t>f=(e/a)</t>
  </si>
  <si>
    <t>Incidenza percentuale arretrati a.p.</t>
  </si>
  <si>
    <t>Incidenza percentuale altre accessorie</t>
  </si>
  <si>
    <t>Incongruenza 8</t>
  </si>
  <si>
    <t>IN 8</t>
  </si>
  <si>
    <t>c&lt;=20%</t>
  </si>
  <si>
    <t>f&lt;=20%</t>
  </si>
  <si>
    <t>Congruenza (max incidenza consentita 20%)</t>
  </si>
  <si>
    <t>Tavola di controllo della spesa per "arretrati a.p." e "altre accessorie" di T13: incidenza % di ciascun valore sul totale di Tabella 13</t>
  </si>
  <si>
    <t>A015</t>
  </si>
  <si>
    <t>A035</t>
  </si>
  <si>
    <t>A045</t>
  </si>
  <si>
    <t>A070</t>
  </si>
  <si>
    <t>M000</t>
  </si>
  <si>
    <t>NOTE</t>
  </si>
  <si>
    <t>*28</t>
  </si>
  <si>
    <t>NUMERO</t>
  </si>
  <si>
    <t>Solo per chi ha risposto SI' alla domanda n. 28</t>
  </si>
  <si>
    <t>Voce di spesa (Tab 14)</t>
  </si>
  <si>
    <t>codice (Tab 14)</t>
  </si>
  <si>
    <t>Valore Medio Unitario:
b / a</t>
  </si>
  <si>
    <t>Incidenza % 
L105 / P062</t>
  </si>
  <si>
    <t>Compresenza 
e/o 
controllo incidenza %</t>
  </si>
  <si>
    <t>RIMBORSI RICEVUTI PER PERS. COMAND./FUORI RUOLO/IN CONV. (-)</t>
  </si>
  <si>
    <t>SOMME RICEVUTE DA U.E. E/O PRIVATI (-)</t>
  </si>
  <si>
    <t>ALTRI RIMBORSI RICEVUTI DALLE AMMINISTRAZIONI (-)</t>
  </si>
  <si>
    <t>Valore in percentuale dell' incidenza della spesa del personale in rapporto alle spese correnti?</t>
  </si>
  <si>
    <t>Valore in percentuale dell’incidenza della spesa del personale in rapporto alle spese correnti?</t>
  </si>
  <si>
    <t>quante funzioni con convenzioni?</t>
  </si>
  <si>
    <t>quante funzioni con unione di comuni?</t>
  </si>
  <si>
    <t>(*)  gli importi vanno indicati in EURO, senza cifre decimali (cfr. circolare: "istruzioni generali e specifiche di comparto")</t>
  </si>
  <si>
    <r>
      <t xml:space="preserve">valori medi annui pro-capite per voci retributive a carattere "stipendiale" </t>
    </r>
    <r>
      <rPr>
        <sz val="8"/>
        <rFont val="Arial"/>
        <family val="2"/>
      </rPr>
      <t>(**)</t>
    </r>
  </si>
  <si>
    <r>
      <t>valori medi annui pro-capite per indennità e compensi accessori</t>
    </r>
    <r>
      <rPr>
        <sz val="8"/>
        <rFont val="Arial"/>
        <family val="2"/>
      </rPr>
      <t xml:space="preserve"> (**)</t>
    </r>
  </si>
  <si>
    <t>(**) Valore medio annuo pro-capite calcolato dividendo la spesa per le unità di riferimento (mensilità della T12 / 12)</t>
  </si>
  <si>
    <t>Indicare il numero di unita di personale utilizzato a qualsiasi titolo (comando o altro) nelle attivita esternalizzate con esclusione delle unita effettivamente cessate a seguito di esternalizzazioni.</t>
  </si>
  <si>
    <t>Indicare il numero delle unita rilevate in tabella 1 tra i "presenti al 31.12" che appartengono alle categorie protette (Legge n.68/99).</t>
  </si>
  <si>
    <t>Quanti sono i dipendenti al 31.12 in aspettativa per dottorato di ricerca con retribuzione a carico dell'amministrazione ai sensi dell’articolo 2 della legge 476/1984 e s.m.?</t>
  </si>
  <si>
    <t>Quante persone sono state impiegate nell'anno (a tempo determinato, con  co.co.co. o con incarichi) il cui costo e totalmente sostenuto con finanziamenti esterni dell'unione europea o di privati?</t>
  </si>
  <si>
    <t>Indicare il numero delle unita rilevate in tabella 1 tra i "presenti al 31.12" che risultavano titolari di permessi per legge n. 104/92.</t>
  </si>
  <si>
    <t>Indicare il numero delle unita rilevate in tabella 1 tra i "presenti al 31.12" che risultavano titolari di permessi ai sensi dell'art. 42, c.5 D.lgs.151/2001.</t>
  </si>
  <si>
    <t>assenze in T11, ma nessuna unità in T1</t>
  </si>
  <si>
    <t xml:space="preserve">Controllo incidenza % L105 / P062  =&gt;  </t>
  </si>
  <si>
    <t>Incongruenza
[(a-gg formazione)&gt;(mens.T12/12*260)]</t>
  </si>
  <si>
    <t>(b) cfr." istruzioni generali e specifiche di comparto" e "glossario"</t>
  </si>
  <si>
    <t>L’Ente gestisce funzioni fondamentali in forma associata ai sensi dell’art.14, c.28, L.122/2010 e s.m.?</t>
  </si>
  <si>
    <t>E’ stato stilato il piano annuale delle assunzioni previsto dall’art. 20 della Legge 488/1999, o di analoghe disposizioni delle Regioni e Province Autonome?</t>
  </si>
  <si>
    <t>T12 non compilata o assenze comunicate &gt; gg lavorabili (</t>
  </si>
  <si>
    <t>REFERENTE DA CONTATTARE</t>
  </si>
  <si>
    <t>NOTE: Elenco Istituzioni ed importi dei rimborsi effettuati (**)</t>
  </si>
  <si>
    <t>NOTE: Elenco Istituzioni ed importi dei rimborsi ricevuti (***)</t>
  </si>
  <si>
    <t>VOCI DI SPESA RILEVATE</t>
  </si>
  <si>
    <t>IMPORTO SICO</t>
  </si>
  <si>
    <t>ASSEGNI NUCLEO FAMILIARE</t>
  </si>
  <si>
    <t>GESTIONE MENSE</t>
  </si>
  <si>
    <t>CONTRATTI PER RESA SERVIZI /ADEMPIMENTI OBBLIGATORI PER LEGGE</t>
  </si>
  <si>
    <t xml:space="preserve">CONTRIBUTI A CARICO DELL'AMMINISTRAZIONE SU COMPETENZE FISSE ED ACCESSORIE </t>
  </si>
  <si>
    <t xml:space="preserve">IRAP </t>
  </si>
  <si>
    <t>SOMME RIMBORSATE ALLE AMMINISTRAZIONI PER SPESE DI PERSONALE (sommatoria dei diversi rimborsi presenti in tabella 14)</t>
  </si>
  <si>
    <t>TABELLA 12</t>
  </si>
  <si>
    <t>TABELLA 13</t>
  </si>
  <si>
    <t>TOTALE GENERALE</t>
  </si>
  <si>
    <t>TOTALE GENERALE AL NETTO DEI RIMBORSI</t>
  </si>
  <si>
    <t>RIMBORSI RICEVUTI  DALLE AMMINISTRAZIONI PER SPESE DI PERSONALE  (a riduzione) (sommatoria dei diversi rimborsi presenti in tabella 14)</t>
  </si>
  <si>
    <t>A999</t>
  </si>
  <si>
    <t>P998</t>
  </si>
  <si>
    <t>TRC</t>
  </si>
  <si>
    <t>P999</t>
  </si>
  <si>
    <t>###</t>
  </si>
  <si>
    <t>I424</t>
  </si>
  <si>
    <t>S190</t>
  </si>
  <si>
    <t>S761</t>
  </si>
  <si>
    <t>INDENNITA' ART.42, COMMA 5-TER, D.LGS. 151/2001</t>
  </si>
  <si>
    <t>INDENNITA' DI STAFF/COLLABORAZIONE</t>
  </si>
  <si>
    <t>INCENTIVI ALLA PROGETTAZIONE EX LEGGE MERLONI</t>
  </si>
  <si>
    <t>DIRITTI DI ROGITO-SEGRETERIA CONV.- IND.SCAVALCO</t>
  </si>
  <si>
    <t>ONORARI AVVOCATI</t>
  </si>
  <si>
    <t>COMPETENZE PERSONALE COMANDATO/DISTACCATO PRESSO L'AMM.NE</t>
  </si>
  <si>
    <t>Organizzazione generale dell'amministrazione, gestione finanziaria e contabile e controllo;</t>
  </si>
  <si>
    <t>Organizzazione dei servizi pubblici di interesse generale di ambito comunale, ivi compresi i servizi di trasporto pubblico comunale;</t>
  </si>
  <si>
    <t>Catasto, ad eccezione delle funzioni mantenute allo Stato dalla normativa vigente;</t>
  </si>
  <si>
    <t>La pianificazione urbanistica ed edilizia di ambito comunale nonché la partecipazione alla pianificazione territoriale di livello sovracomunale;</t>
  </si>
  <si>
    <t>Attività, in ambito comunale, di pianificazione di protezione civile e di coordinamento dei primi soccorsi;</t>
  </si>
  <si>
    <t>L'organizzazione e la gestione dei servizi di raccolta, avvio e smaltimento e recupero dei rifiuti urbani e la riscossione dei relativi tributi;</t>
  </si>
  <si>
    <t>Progettazione e gestione del sistema locale dei servizi sociali ed erogazione delle relative prestazioni ai cittadini, secondo quanto previsto dall'articolo 118, quarto comma, della Costituzione;</t>
  </si>
  <si>
    <t>Edilizia scolastica (per la parte non attribuita alla competenza delle province), organizzazione e gestione dei servizi scolastici;</t>
  </si>
  <si>
    <t>Polizia municipale e polizia amministrativa locale;</t>
  </si>
  <si>
    <t xml:space="preserve">Tenuta dei registri di stato civile e di popolazione e compiti in materia di servizi anagrafici nonché in materia di serv. elettorali e statistici, nell'esercizio delle funzioni di competenza statale; </t>
  </si>
  <si>
    <t>Indicare i servizi svolti dall'Unione di comuni</t>
  </si>
  <si>
    <t>TOTALE del personale da distribuire</t>
  </si>
  <si>
    <t>Domande SI_1</t>
  </si>
  <si>
    <t>Unità annue
dichiarate in SI_1</t>
  </si>
  <si>
    <t>Totale presenti al
31-12 dichiarati in T1</t>
  </si>
  <si>
    <t>Controllo</t>
  </si>
  <si>
    <t>Assenze dichiarate</t>
  </si>
  <si>
    <t xml:space="preserve">Compresenza </t>
  </si>
  <si>
    <t>(**) campo riservato all'inserimento delle informazioni di dettaglio (nome Istituzione ed importo) riguardanti i rimborsi effettuati (P071, P074). Eventuali note su altre voci di spesa dovranno essere immesse nel campo "note e chiarimenti" della SI_1</t>
  </si>
  <si>
    <t>(***) campo riservato all'inserimento delle informazioni di dettaglio (nome Istituzione ed importo) riguardanti i rimborsi ricevuti (P090, P098, P099). Eventuali note su altre voci di spesa dovranno essere immesse nel campo "note e chiarimenti" della SI_1</t>
  </si>
  <si>
    <t>IMPORTO BILANCIO (*)</t>
  </si>
  <si>
    <t>IN 3</t>
  </si>
  <si>
    <t>SOMME CORRISPOSTE AD AGENZIA DI SOMMINISTRAZIONE (INTERINALI)</t>
  </si>
  <si>
    <t>ONERI PER I CONTRATTI DI SOMMINISTRAZIONE (INTERINALI)</t>
  </si>
  <si>
    <t xml:space="preserve">RETRIBUZIONI PERSONALE A TEMPO DETERMINATO </t>
  </si>
  <si>
    <t>QUOTE ANNUE DI ACCANTONAMENTO  TFR O ALTRA INDENNITA'  FINE SERVIZIO</t>
  </si>
  <si>
    <t>COMPENSI PER PERSONALE ADDETTO A LAVORI SOCIALMENTE UTILI</t>
  </si>
  <si>
    <t>ECONOMIE AGGIUNTIVE (ART. 16 CC. 4-5 L. 111/11)</t>
  </si>
  <si>
    <t>F96H</t>
  </si>
  <si>
    <t>Convenzione 1</t>
  </si>
  <si>
    <t>Al 31.12 l'Ente è capofila di una convenzione stipulata ai sensi dell'art. 30 del T.U.E.L. , o di analoghe disposizioni delle Regioni e Province Autonome?</t>
  </si>
  <si>
    <t>CODICE ENTE</t>
  </si>
  <si>
    <t>In caso di risposta negativa indicare il codice dell'Ente capofila (file con i codici degli enti associato al kit excel)</t>
  </si>
  <si>
    <t>In caso di risposta positiva indicare quali sono i servizi oggetto della convenzione selezionandoli dall'elenco proposto</t>
  </si>
  <si>
    <t>Tenuta dei reg. di stato civile e di pop.zione e compiti in materia di servizi anagrafici nonché in materia di serv. elettorali e statistici, nell'esercizio delle funzioni di competenza statale</t>
  </si>
  <si>
    <t xml:space="preserve">Convenzione 2 </t>
  </si>
  <si>
    <t>Convenzione 3</t>
  </si>
  <si>
    <t>*31</t>
  </si>
  <si>
    <t>*32</t>
  </si>
  <si>
    <t>Convenzione 4</t>
  </si>
  <si>
    <t>*46</t>
  </si>
  <si>
    <t>*47</t>
  </si>
  <si>
    <t>Convenzione 5</t>
  </si>
  <si>
    <t>*61</t>
  </si>
  <si>
    <t>*62</t>
  </si>
  <si>
    <t>SI_1A_CONV</t>
  </si>
  <si>
    <t>Totale Fondo unico</t>
  </si>
  <si>
    <t>C21</t>
  </si>
  <si>
    <t>Personale assunto con procedure Art. 35, c.3-Bis, DLGS 156/01</t>
  </si>
  <si>
    <t>Personale assunto con procedure Art. 4, c.6,  L. 125/13</t>
  </si>
  <si>
    <t>A35</t>
  </si>
  <si>
    <t>A40</t>
  </si>
  <si>
    <t>Si</t>
  </si>
  <si>
    <t>No</t>
  </si>
  <si>
    <r>
      <rPr>
        <b/>
        <sz val="7"/>
        <rFont val="Helv"/>
      </rPr>
      <t>IRAP</t>
    </r>
    <r>
      <rPr>
        <sz val="7"/>
        <rFont val="Helv"/>
      </rPr>
      <t xml:space="preserve">
</t>
    </r>
    <r>
      <rPr>
        <b/>
        <sz val="7"/>
        <rFont val="Helv"/>
      </rPr>
      <t>Commerciale</t>
    </r>
  </si>
  <si>
    <t>P035</t>
  </si>
  <si>
    <t>CONTRIBUTI A CARICO DELL'AMM.NE PER FONDI PREV. COMPLEMENTARE</t>
  </si>
  <si>
    <t>IN 9</t>
  </si>
  <si>
    <t>Totale Fondo posizione e risultato</t>
  </si>
  <si>
    <t>Unità di personale con qualifica dirigenziale assegnate agli uffici di diretta collaborazione con gli organi di indirizzo politico</t>
  </si>
  <si>
    <t xml:space="preserve">Unità di personale non dirigente assegnate agli uffici di diretta collaborazione con gli organi di indirizzo politico </t>
  </si>
  <si>
    <t xml:space="preserve">Unità di pers. est. all'istituzione, in posizione di comando, distacco, fuori ruolo, esperti, consulenti o co.co.co assegnate agli uffici di diretta collaborazione con gli organi di indirizzo politico  </t>
  </si>
  <si>
    <t>Coerenza T1 con personale T3 OUT</t>
  </si>
  <si>
    <t>Coerenza distribuzione territoriale</t>
  </si>
  <si>
    <t>a&gt;=(e+f+g+h+i)</t>
  </si>
  <si>
    <t>l&gt;=(p+q+r+s+t)</t>
  </si>
  <si>
    <t>sono presenti unità in T1 o personale esterno in T3, ma non assenze in T11</t>
  </si>
  <si>
    <t>ATTENZIONE: Per gli Enti che non sono tenuti all’invio della Tabella 10, la Tavola va considerata con riferimento al diagnostico della colonna “Coerenza T1 con personale T3 OUT”</t>
  </si>
  <si>
    <t>NOTE E CHIARIMENTI ALLA RILEVAZIONE
(max 1500 caratteri)</t>
  </si>
  <si>
    <t>(sono evidenziate quelle valorizzate nella T1)</t>
  </si>
  <si>
    <t>U+D</t>
  </si>
  <si>
    <t>Totale T2A</t>
  </si>
  <si>
    <t>Totale T2</t>
  </si>
  <si>
    <t>Confronto T2/T2A</t>
  </si>
  <si>
    <t xml:space="preserve">Tavola di congruenza tra il personale a Tempo Determinato comunicato in T2 con la ripartizione dello stesso personale comunicato in T2A
</t>
  </si>
  <si>
    <t>IN 10</t>
  </si>
  <si>
    <t>DIRIGENTE A TEMPO DET.TO  ART.110 C.1 TUEL</t>
  </si>
  <si>
    <t>POSIZ. ECON. D5 PROFILI ACCESSO D3</t>
  </si>
  <si>
    <t>POSIZ. ECON. D5 PROFILI ACCESSO D1</t>
  </si>
  <si>
    <t>POSIZ. ECON. D4 PROFILI ACCESSO D3</t>
  </si>
  <si>
    <t>POSIZ. ECON. D4 PROFILI ACCESSO D1</t>
  </si>
  <si>
    <t>POSIZ. ECON. B6 PROFILI ACCESSO B3</t>
  </si>
  <si>
    <t>POSIZ. ECON. B6 PROFILI ACCESSO B1</t>
  </si>
  <si>
    <t>POSIZ. ECON. B5 PROFILI ACCESSO B3</t>
  </si>
  <si>
    <t>POSIZ. ECON. B5 PROFILI ACCESSO B1</t>
  </si>
  <si>
    <t>POSIZ. ECON. B4 PROFILI ACCESSO B3</t>
  </si>
  <si>
    <t>POSIZ. ECON. B4 PROFILI ACCESSO B1</t>
  </si>
  <si>
    <t>a con d</t>
  </si>
  <si>
    <t>b con e</t>
  </si>
  <si>
    <r>
      <t xml:space="preserve">COGNOME </t>
    </r>
    <r>
      <rPr>
        <b/>
        <sz val="12"/>
        <rFont val="Arial"/>
        <family val="2"/>
      </rPr>
      <t>*</t>
    </r>
  </si>
  <si>
    <r>
      <t xml:space="preserve">NOME </t>
    </r>
    <r>
      <rPr>
        <b/>
        <sz val="12"/>
        <rFont val="Arial"/>
        <family val="2"/>
      </rPr>
      <t>*</t>
    </r>
  </si>
  <si>
    <r>
      <t xml:space="preserve">E-Mail </t>
    </r>
    <r>
      <rPr>
        <b/>
        <sz val="12"/>
        <rFont val="Arial"/>
        <family val="2"/>
      </rPr>
      <t>*</t>
    </r>
  </si>
  <si>
    <r>
      <rPr>
        <sz val="8"/>
        <rFont val="Arial"/>
        <family val="2"/>
      </rPr>
      <t xml:space="preserve">TELEFONO </t>
    </r>
    <r>
      <rPr>
        <b/>
        <sz val="12"/>
        <rFont val="Arial"/>
        <family val="2"/>
      </rPr>
      <t>*</t>
    </r>
  </si>
  <si>
    <t>DATI SIOPE</t>
  </si>
  <si>
    <t>RETRIBUZIONE DI RISULTATO (onnicomprensività)</t>
  </si>
  <si>
    <t>U02I</t>
  </si>
  <si>
    <t>DECURTAZIONE PERMANENTE EX ART. 1 C. 456 L. 147/2013</t>
  </si>
  <si>
    <t>F27I</t>
  </si>
  <si>
    <t>PROGRESSIONI ORIZZONTALI FONDO ANNO DI RIF.TO</t>
  </si>
  <si>
    <t>U97H</t>
  </si>
  <si>
    <t>Numero complessivo di funzioni dirigenziali previste nell'ordinamento</t>
  </si>
  <si>
    <t>Importo totale della retribuzione di risultato erogata a valere sul fondo dell'anno di rilevazione</t>
  </si>
  <si>
    <t>Importo totale della produttività individuale erogata a valere sul fondo dell'anno di rilevazione</t>
  </si>
  <si>
    <t>Importo totale della produttività collettiva erogata a valere sul fondo dell'anno di rilevazione</t>
  </si>
  <si>
    <t>*57</t>
  </si>
  <si>
    <t>*58</t>
  </si>
  <si>
    <t>*59</t>
  </si>
  <si>
    <t>Spesa complessivamente sostenuta per il personale non dirigenziale assegnato agli uffici di diretta collaborazione con gli organi di indirizzo politico</t>
  </si>
  <si>
    <t>Spesa complessivamente sostenuta per il personale con qualifica dirigenziale assegnato agli uffici di diretta collaborazione con gli organi di indirizzo politico</t>
  </si>
  <si>
    <t>Spesa sostenuta per il personale esterno all'amministrazione, in posizione di comando, distacco, fuori ruolo, esperti, consulenti e CO.CO.CO. assegnati agli uffici di diretta collaborazione con gli organi di indirizzo politico</t>
  </si>
  <si>
    <t>Risoluz. rapporto di lavoro</t>
  </si>
  <si>
    <t>Somme
dichiarate in SI_1</t>
  </si>
  <si>
    <t>IN 11</t>
  </si>
  <si>
    <t>Unità annue 
(Tab 2)</t>
  </si>
  <si>
    <t>IN 12</t>
  </si>
  <si>
    <t>IN 13</t>
  </si>
  <si>
    <t>IN 14</t>
  </si>
  <si>
    <t>Incongruenza 14</t>
  </si>
  <si>
    <t>Tavola di congruenza tra i giorni di assenza indicati nella Tabella 11 e i valori di organico inseriti nelle Tabelle 1, 3, 4, 5 (incongruenza 7)</t>
  </si>
  <si>
    <t>Unità annue 
(SI_1)</t>
  </si>
  <si>
    <t>Tipologia lavoro flessibile (Tab 2)</t>
  </si>
  <si>
    <t>Tipologia lavoro flessibile (SI_1)</t>
  </si>
  <si>
    <t>Mensilità/12</t>
  </si>
  <si>
    <t>Totale della Tabella T11 esclusa formazione e altre ass. non retribuite</t>
  </si>
  <si>
    <t xml:space="preserve">Tavola di congruenza tra i giorni totali pro-capite di assenza (escluse assenze per formazione e quelle non retribuite) calcolati dai valori indicati nella Tabella 11, con il numero MAX dei gg lavorativi annui
</t>
  </si>
  <si>
    <t>Tavola di coerenza tra valori dichiarati in SI_1 come appartenenti a categorie protette, titolari di permessi per legge n. 104/92, titolari di permessi ai sensi dell'art. 42, comma 5 d.lgs. 151/2001, con il personale indicato in  Tab. 1</t>
  </si>
  <si>
    <t xml:space="preserve"> Incongruenza 3</t>
  </si>
  <si>
    <t xml:space="preserve">Tavola di compresenza tra valori dichiarati nella SI_1 come titolari di permessi per legge n. 104/92 e titolari di permessi ai sensi dell'art. 42, comma 5 d.lgs. 151/2001, con le giornate di assenza indicate in Tab. 11 </t>
  </si>
  <si>
    <t xml:space="preserve"> Incongruenza 12</t>
  </si>
  <si>
    <t>Tavola di compresenza tra le somme trattenute per malattia indicate nella SI_1 e i giorni di assenza per malattia retribuita indicati nella Tab. 11</t>
  </si>
  <si>
    <t xml:space="preserve"> Incongruenza 13</t>
  </si>
  <si>
    <t>Tavola di compresenza tra valori di organico di personale con rapporto di lavoro flessibile di Tabella 2 e relativa spesa di Tabella 14</t>
  </si>
  <si>
    <t xml:space="preserve"> Incongruenza 11</t>
  </si>
  <si>
    <t>Tavola di compresenza tra valori di organico di personale con rapporto di lavoro flessibile di Scheda Informativa 1 e relativa spesa di Tabella 14</t>
  </si>
  <si>
    <t xml:space="preserve"> Incongruenza 1</t>
  </si>
  <si>
    <t>ASSEGNO AD PERSONAM</t>
  </si>
  <si>
    <t>I418</t>
  </si>
  <si>
    <t>E’ stato adottato il piano annuale delle assunzioni previsto dall’art. 20 della Legge 488/1999, o di analoghe disposizioni delle Regioni e Province Autonome?</t>
  </si>
  <si>
    <t>E’ stato rispettato l’art. 1 c. 557 e il comma 557-quater, l.f. per l’anno 2007 e  o analoga disposizione delle Regioni e Province Autonome?</t>
  </si>
  <si>
    <t>Ha rispettato l’equilibrio dei saldi di finanza pubblica?</t>
  </si>
  <si>
    <t xml:space="preserve">E' stato rispettato l’art. 1 c. 562, l.f. per l’anno 2007 e o l’art. 1, comma 229, l.s. 2016 o analoga disposizione delle Regioni e Province Autonome?
</t>
  </si>
  <si>
    <t>_</t>
  </si>
  <si>
    <t>*60</t>
  </si>
  <si>
    <t>E' stato adottato il piano triennale straordinario di assunzioni a tempo indeterminato di personale insegnante ed educativo?</t>
  </si>
  <si>
    <t>A quanti incarichi a tempo determinato ha fatto ricorso l'Ente in base all'art. 6, comma 7, d.l. 78/2015?</t>
  </si>
  <si>
    <t>*63</t>
  </si>
  <si>
    <t>*64</t>
  </si>
  <si>
    <t>INCENTIVI PER FUNZIONI TECNICHE</t>
  </si>
  <si>
    <t>SCHEDA UNIFICATA EX ART. 40 BIS, COMMA 3 DEL D.LGS. N.165/2001:</t>
  </si>
  <si>
    <t>SQUADRATURA 10</t>
  </si>
  <si>
    <t>"SPECIFICHE INFORMAZIONI SULLA CONTRATTAZIONE INTEGRATIVA"</t>
  </si>
  <si>
    <t>INCONGRUENZA 16</t>
  </si>
  <si>
    <t>MACROCATEGORIA: DIRIGENTI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</si>
  <si>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</si>
  <si>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</si>
  <si>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</si>
  <si>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</si>
  <si>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</si>
  <si>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</si>
  <si>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</si>
  <si>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GEN207</t>
  </si>
  <si>
    <t>FLAG</t>
  </si>
  <si>
    <t>GEN172</t>
  </si>
  <si>
    <t>DATE</t>
  </si>
  <si>
    <t>GEN195</t>
  </si>
  <si>
    <t>INT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</si>
  <si>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</si>
  <si>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</si>
  <si>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 ALLA C.I.</t>
  </si>
  <si>
    <t>LEG157</t>
  </si>
  <si>
    <t>Importo della decurtazione permanente ai sensi dell'art. 1, c. 456 della L. 147/2013 apportata al fondo/i dell'anno corrente</t>
  </si>
  <si>
    <t>PERC</t>
  </si>
  <si>
    <t>LEG263</t>
  </si>
  <si>
    <t>(eventuale) Importo della decurtazione al fondo/i dell'anno corrente per il recupero delle risorse erogate in eccesso ai sensi dell'art. 40, c. 3-quinquies del Dlgs 165/2001</t>
  </si>
  <si>
    <t>LEG264</t>
  </si>
  <si>
    <t>(eventuale) Importo della decurtazione al fondo dell'anno corrente per il recupero delle risorse erogate in eccesso ai sensi dell'art. 4, c. 1 del DL 68/2014</t>
  </si>
  <si>
    <t>LEG265</t>
  </si>
  <si>
    <t>ORG</t>
  </si>
  <si>
    <t>ORGANIZZAZIONE E INCARICHI</t>
  </si>
  <si>
    <t>ORG191</t>
  </si>
  <si>
    <t>ORG299</t>
  </si>
  <si>
    <t>Numero di posizioni dirigenziali preposte alle strutture organizzative complesse ai sensi dell'art. 27, c. 5 del Ccnl 23.12.1999 e s.m.i. effettivamente coperte alla data del 31.12 dell'anno di rilevazione</t>
  </si>
  <si>
    <t>ORG268</t>
  </si>
  <si>
    <t>Numero di posizioni dirigenziali effettivamente coperte alla data del 31.12 dell'anno di rilevazione per la fascia più elevata</t>
  </si>
  <si>
    <t>ORG269</t>
  </si>
  <si>
    <t>Numero di posizioni dirigenziali effettivamente coperte alla data del 31.12 dell'anno di rilevazione per la fascia meno elevata</t>
  </si>
  <si>
    <t>ORG270</t>
  </si>
  <si>
    <t>Numero di posizioni dirigenziali effettivamente coperte alla data del 31.12 dell'anno di rilevazione per le restanti fasce</t>
  </si>
  <si>
    <t>ORG271</t>
  </si>
  <si>
    <t>Numero di posizioni dirigenziali effettivamente coperte alla data del 31.12 dell'anno di rilevazione con incarico ad interim</t>
  </si>
  <si>
    <t>ORG300</t>
  </si>
  <si>
    <t>Valore medio su base annua della retribuzione di posizione previsto per le strutture organizzative complesse di cui all'art. 27, c. 5 del Ccnl 23.12.1999 e s.m.i.</t>
  </si>
  <si>
    <t>ORG136</t>
  </si>
  <si>
    <t>Valore unitario su base annua della retribuzione di posizione previsto per la fascia più elevata</t>
  </si>
  <si>
    <t>ORG179</t>
  </si>
  <si>
    <t>Valore unitario su base annua della retribuzione di posizione previsto per la fascia meno elevata</t>
  </si>
  <si>
    <t>ORG161</t>
  </si>
  <si>
    <t>Valore unitario su base annua della retribuzione di posizione previsto per le restanti fasce (valore medio)</t>
  </si>
  <si>
    <t>ORG272</t>
  </si>
  <si>
    <t>Valore medio su base annua della retribuzione per gli incarichi dirigenziali ad interim (risultato)</t>
  </si>
  <si>
    <t>PRD</t>
  </si>
  <si>
    <t>PRODUTTIVITA' / RISULTATO</t>
  </si>
  <si>
    <t>PRD137</t>
  </si>
  <si>
    <t>PRD115</t>
  </si>
  <si>
    <t>Importo totale della retribuzione di risultato non erogata a seguito della valutazione non piena con riferimento al fondo dell'anno di rilevazione</t>
  </si>
  <si>
    <t>PRD152</t>
  </si>
  <si>
    <t>% di risorse aggiuntive ex art. 26, c. 3 del Ccnl 23.12.1999 (variabile) in proporzione alle risorse stabili del fondo dell'anno di rilevazione</t>
  </si>
  <si>
    <t>PRD159</t>
  </si>
  <si>
    <t>PRD273</t>
  </si>
  <si>
    <t>Sono utilizzati indicatori di risultato attinenti all'Ufficio o all'Ente nel suo complesso per la valutazione della retribuzione di risultato (S/N)?</t>
  </si>
  <si>
    <t>PRD274</t>
  </si>
  <si>
    <t>Sono utilizzati giudizi del nucleo di valutazione o di altro analogo organismo per la valutazione della retribuzione di risultato (S/N)?</t>
  </si>
  <si>
    <t>PRD275</t>
  </si>
  <si>
    <t>Sono utilizzati ai fini della valutazione dei dirigenti meccanismi di confronto con le performance di altri enti (benchmarking) (S/N)?</t>
  </si>
  <si>
    <t>CPL</t>
  </si>
  <si>
    <t>CPL120</t>
  </si>
  <si>
    <t>CPL150</t>
  </si>
  <si>
    <t>Sono costituiti in forma singola o associata?</t>
  </si>
  <si>
    <t>CPL286</t>
  </si>
  <si>
    <t>Viene effettuata la valutazione delle prestazioni e dei risultati dei dirigenti (art. 14 del Ccnl 23.12.1999)?</t>
  </si>
  <si>
    <t>CPL147</t>
  </si>
  <si>
    <t>La valutazione delle prestazioni e dei risultati è effettuata in forma singola o associata?</t>
  </si>
  <si>
    <t>INF</t>
  </si>
  <si>
    <t>INFORMAZIONI / CHIARIMENTI</t>
  </si>
  <si>
    <t>INF209</t>
  </si>
  <si>
    <t>Informazioni/chiarimenti da parte dell'Organo di controllo (max 1.500 caratteri)</t>
  </si>
  <si>
    <t>INF127</t>
  </si>
  <si>
    <t>Informazioni/chiarimenti da parte dell'Amministrazione (max 1.500 caratteri)</t>
  </si>
  <si>
    <t>MACROCATEGORIA: PERSONALE NON DIRIGENTE</t>
  </si>
  <si>
    <t>ORG112</t>
  </si>
  <si>
    <t>ORG145</t>
  </si>
  <si>
    <t>Numero di posizioni organizzative effettivamente coperte alla data del 31.12 dell'anno di rilevazione per la fascia più elevata</t>
  </si>
  <si>
    <t>ORG160</t>
  </si>
  <si>
    <t>Numero di posizioni organizzative effettivamente coperte alla data del 31.12 dell'anno di rilevazione per la fascia meno elevata</t>
  </si>
  <si>
    <t>ORG154</t>
  </si>
  <si>
    <t>Numero di posizioni organizzative effettivamente coperte alla data del 31.12 dell'anno di rilevazione per le restanti fasce</t>
  </si>
  <si>
    <t>ORG169</t>
  </si>
  <si>
    <t>Numero complessivo di incarichi di specifica responsabilità ai sensi dell'art. 17, c. 2, lett. f) del Ccnl 1.4.1999 in essere al 31.12 dell'anno di rilevazione</t>
  </si>
  <si>
    <t>PEO</t>
  </si>
  <si>
    <t>PROGRESSIONI ECONOMICHE ORIZZONTALI A VALERE SUL FONDO DELL'ANNO DI RILEVAZIONE</t>
  </si>
  <si>
    <t>PEO168</t>
  </si>
  <si>
    <t>E' stata verificata la sussistenza del requisito di cui all'art. 9, c. 1 del Ccnl 11.4.2008 ai fini delle PEO secondo la disciplina di cui all'art. 5 del Ccnl 31.3.1999 (S/N) ?</t>
  </si>
  <si>
    <t>PEO111</t>
  </si>
  <si>
    <t>Numero dei dipendenti che hanno concorso alle procedure per le PEO a valere sul fondo dell'anno di rilevazione</t>
  </si>
  <si>
    <t>PEO188</t>
  </si>
  <si>
    <t>Numero totale delle PEO effettuate a valere sul fondo dell'anno di rilevazione</t>
  </si>
  <si>
    <t>PEO119</t>
  </si>
  <si>
    <t>PEO266</t>
  </si>
  <si>
    <t>PEO133</t>
  </si>
  <si>
    <t>Importo delle risorse destinate alle PEO contrattate e certificate a valere sul fondo dell'anno di rilevazione</t>
  </si>
  <si>
    <t>PRD164</t>
  </si>
  <si>
    <t>PRD210</t>
  </si>
  <si>
    <t>PRD162</t>
  </si>
  <si>
    <t>Importo totale della produttività non erogata a seguito della valutazione non piena con riferimento al fondo dell'anno di rilevazione</t>
  </si>
  <si>
    <t>PRD287</t>
  </si>
  <si>
    <t>PRD134</t>
  </si>
  <si>
    <t>PRD174</t>
  </si>
  <si>
    <t>% delle risorse aggiuntive di cui all'art. 15, c. 5 del Ccnl 1.4.1999 (variabile) in proporzione alle risorse stabili del fondo dell'anno di rilevazione</t>
  </si>
  <si>
    <t>CPL194</t>
  </si>
  <si>
    <t>Viene effettuata la valutazione delle prestazioni e dei risultati dei dipendenti (art. 6 del Ccnl 31.3.1999) (S/N) ?</t>
  </si>
  <si>
    <t>CPL182</t>
  </si>
  <si>
    <t>Qual'è il valore massimo in percentuale dell'indennità di risultato rispetto all'indennità di posizione (art.10, c. 3 del Ccnl 31.3.1999)?</t>
  </si>
  <si>
    <t>SICI</t>
  </si>
  <si>
    <t>SQ 10</t>
  </si>
  <si>
    <t>IN 15</t>
  </si>
  <si>
    <t>IN 16</t>
  </si>
  <si>
    <t>SQUADRATURA 9</t>
  </si>
  <si>
    <t>Risorse per la retribuzione di posizione e di risultato</t>
  </si>
  <si>
    <t>Risorse / Costituzione del fondo</t>
  </si>
  <si>
    <t>Impeghi / Importi erogati</t>
  </si>
  <si>
    <t>Risorse fisse aventi carattere di certezza e stabilità</t>
  </si>
  <si>
    <t>Fondo</t>
  </si>
  <si>
    <t>Natura</t>
  </si>
  <si>
    <t>Voce</t>
  </si>
  <si>
    <t>INCONGRUENZA 15</t>
  </si>
  <si>
    <t>Fondo unico per le risorse decentrate</t>
  </si>
  <si>
    <t>SQ 9</t>
  </si>
  <si>
    <t>QUOTE PER INCENTIVI FUNZIONI TECNICHE (ART. 113 DLGS 50/16)</t>
  </si>
  <si>
    <t>F00N</t>
  </si>
  <si>
    <t>L'amministrazione, alla data di compilazione/rettifica della presente scheda, ha contezza formale e certificata dall'organo di controllo del limite di spesa rappresentato dal fondo/i per la contrattazione integrativa dell'anno di rilevazione (S/N)?</t>
  </si>
  <si>
    <t>È prevista una certificazione disgiunta per le risorse (costituzione) e per gli impieghi (contratto integrativo) secondo quanto raccomandato dalla circolare RGS n. 25/2012 (S/N)?</t>
  </si>
  <si>
    <t>Le retribuzioni di risultato sono correlate alla valutazione della prestazione dei dirigenti (S/N)?</t>
  </si>
  <si>
    <t>Numero totale delle posizioni organizzative ai sensi dell'art. 8, c. 1 del Ccnl 31.3.1999 previste nell'ordinamento</t>
  </si>
  <si>
    <t>Le PEO riferite all'anno di rilevazione hanno rispettato il principio di non retrodatazione oltre il 1 gennaio dell'anno di conclusione del procedimento (S/N)?</t>
  </si>
  <si>
    <t>Importo totale della retribuzione di risultato riferita ad incarichi di posizioni organizzative, alte professionalità ecc. erogato a valere sull'anno di rilevazione</t>
  </si>
  <si>
    <t>Importo totale della retribuzione di risultato relativo ad incarichi di posizioni organizzative, alte professionalità ecc. non erogato a seguito della valutazione non piena con riferimento all'anno di rilevazione</t>
  </si>
  <si>
    <t>(eventuale) Importo del co-finanziamento al recupero riferito alla annualità corrente del recupero di risorse in eccesso ai sensi dell'art. 4, c. 2 del DL 16/2014</t>
  </si>
  <si>
    <t>ESONERI</t>
  </si>
  <si>
    <t>PERSONALE IN ASPETTATIVA</t>
  </si>
  <si>
    <t>Personale in aspettativa (OUT)
(Tab 3)</t>
  </si>
  <si>
    <t>Esoneri (OUT)
(Tab 3)</t>
  </si>
  <si>
    <t>A031</t>
  </si>
  <si>
    <t>R.I.A.</t>
  </si>
  <si>
    <t>PROGRESSIONE PER CLASSI E SCATTI/FASCE RETRIBUTIVE</t>
  </si>
  <si>
    <t>A032</t>
  </si>
  <si>
    <t xml:space="preserve">STIPENDIO 
più I.I.S </t>
  </si>
  <si>
    <t>Telelavoro/Smart working (**)
Personale indicato in T1</t>
  </si>
  <si>
    <t xml:space="preserve">L'Ente ha provveduto a reinternalizzare funzioni o servizi? </t>
  </si>
  <si>
    <t>Ha riassorbito il personale già dipendente di amministrazioni pubbliche secondo quanto previsto dall'art. 19 c. 8 del dlgs. n. 175/2016?</t>
  </si>
  <si>
    <t>In caso di risposta affermativa si passa alla sottodomanda:</t>
  </si>
  <si>
    <t>*24</t>
  </si>
  <si>
    <t>L'Ente ha proceduto alla revisione straordinaria delle partecipazioni societarie ex art. 24 TUSP n. 175/2016?</t>
  </si>
  <si>
    <t>E' stato adottato il piano triennale dei fabbisogni di personale previsto dall'art.6, co 2, dlgs 165/2001 modificato dall'art.4 dlgs 75/2017 o analoghe disposizioni delle Regioni e Province Autonome?</t>
  </si>
  <si>
    <t xml:space="preserve">Al 31.12 le funzioni di Direttore Generale erano svolte da:  </t>
  </si>
  <si>
    <t xml:space="preserve"> - Soggetto appositamente incaricato; </t>
  </si>
  <si>
    <t xml:space="preserve"> - Segretario comunale (art. 108 comma 4 d.lgs. 267/2000)</t>
  </si>
  <si>
    <t>Quanti ex LSU/LPU/ASU sono stati stabilizzati (a tempo indeterminato) nell'anno di rilevazione?</t>
  </si>
  <si>
    <t>Quanti ex LSU/LPU/ASU sono stati contrattualizzati a tempo determinato nell'anno di rilevazione?</t>
  </si>
  <si>
    <t>Quanti ex LSU/LPU/ASU, già contrattualizzati a tempo determinato, hanno avuto proroga nell'anno di rilevazione?</t>
  </si>
  <si>
    <t>Per i Comuni sotto i 1.000 abitanti e per le Unioni è stato rispettato l'art. 1 c. 562, l.f. per l'anno 2007 o l'art. 1, comma 229, l.s. 2016 o analoga disposizione delle Regioni e Province Autonome?</t>
  </si>
  <si>
    <t>*18</t>
  </si>
  <si>
    <t>Nel caso in cui siano stati esternalizzati dei servizi, l'Ente ha adempiuto a quanto previsto dall'articolo 6-bis del d.lgs. 165/2001 come modificato dall'art. 4 c. 2 del d.lgs. 75/2017?</t>
  </si>
  <si>
    <t>Non Tenuto</t>
  </si>
  <si>
    <t>*10</t>
  </si>
  <si>
    <t>*11</t>
  </si>
  <si>
    <t>Destinazioni effettivamente erogate a valere sul fondo dell'anno di riferimento</t>
  </si>
  <si>
    <t>Totale Destinazioni effettivamente erogate  a valere sul fondo anno corrente</t>
  </si>
  <si>
    <t>INCONGRUENZA 9</t>
  </si>
  <si>
    <t>Decurtazioni</t>
  </si>
  <si>
    <t>DEC FONDO RISPETTO LIMITE 2016 (ART. 23 C. 2 DLGS 75/2017)</t>
  </si>
  <si>
    <t>F00P</t>
  </si>
  <si>
    <t>ALTRE DECURTAZIONI DEL FONDO</t>
  </si>
  <si>
    <t>F01P</t>
  </si>
  <si>
    <t>Totale Decurtazioni</t>
  </si>
  <si>
    <t>POSIZIONI ORGANIZZATIVE - RETRIBUZIONE DI POSIZIONE</t>
  </si>
  <si>
    <t>U00A</t>
  </si>
  <si>
    <t>POSIZIONI ORGANIZZATIVE - RETRIBUZIONE DI RISULTATO</t>
  </si>
  <si>
    <t>U00B</t>
  </si>
  <si>
    <t>RIDET PER INCREM STIP CCNL (ART. 67 C. 2 L B CCNL 2016-2018)</t>
  </si>
  <si>
    <t>F00Z</t>
  </si>
  <si>
    <t>INCENTIVI FUNZIONI TECNICHE (ART. 113 DLGS 50/16)</t>
  </si>
  <si>
    <t>U22I</t>
  </si>
  <si>
    <t>INCENTIVI PROG.NE AD ES.TO (ART.92 CC. 5-6  D.LGS. 163/06)</t>
  </si>
  <si>
    <t>U23I</t>
  </si>
  <si>
    <t>INCENTIVI REC. EV. ICI (L662/96, DLGS446/97)</t>
  </si>
  <si>
    <t>U24I</t>
  </si>
  <si>
    <t>INCENTIVI MESSI NOTIFICATORI (ART. 54 CCNL 14.9.00)</t>
  </si>
  <si>
    <t>U25I</t>
  </si>
  <si>
    <t>U26I</t>
  </si>
  <si>
    <t>QUOTE PROG.NE AD ESAURIMENTO (ART.92 CC. 5-6  D.LGS. 163/06)</t>
  </si>
  <si>
    <t>F00Q</t>
  </si>
  <si>
    <t>GEN353</t>
  </si>
  <si>
    <t>Data di certificazione della sola costituzione del fondo/i specificamente riferita all'anno di rilevazione, da indicare solo in assenza di certificazione del contratto inttegrativo (art. 40-bis, c.1 del Dlgs 165/2001)</t>
  </si>
  <si>
    <t>GEN354</t>
  </si>
  <si>
    <t xml:space="preserve">Data di certificazione del solo contratto integrativo economico specificamente riferito al fondo/i dell'anno di rilevazione, sulla base di certificazione costituzione fondo effettuata in precedenza (art. 40-bis, c.1 del Dlgs 165/2001) </t>
  </si>
  <si>
    <t>GEN355</t>
  </si>
  <si>
    <t>Data di certificazione congiunta della costituzione del fondo e del contratto integrativo economico specificamente riferito al fondo/i dell'anno di rilevazione (art. 40-bis, c.1 del Dlgs 165/2001)</t>
  </si>
  <si>
    <t>LEG356</t>
  </si>
  <si>
    <t>Importo del fondo/i anno 2016 come certificato dall'organo di controllo in sede di validazione fondo/i 2016</t>
  </si>
  <si>
    <t>LEG357</t>
  </si>
  <si>
    <t>Importo del limite 2016 come certificato dall'organo di controllo in sede di validazione del fondo/i dell'anno corrente</t>
  </si>
  <si>
    <t>Le PEO riferite all'anno di rilevazione sono riferite ad un numero limitato di dipendenti ed operate con carattere di selettività secondo quanto previsto dall’art. 23 c. 2 del DLgs 150/2009 (S/N)?</t>
  </si>
  <si>
    <t>TOTALE RISORSE CERTIFICATE</t>
  </si>
  <si>
    <t>TOTALE IMPIEGHI EROGATI</t>
  </si>
  <si>
    <r>
      <t xml:space="preserve">SQ 7 </t>
    </r>
    <r>
      <rPr>
        <sz val="8"/>
        <color indexed="9"/>
        <rFont val="Arial"/>
        <family val="2"/>
      </rPr>
      <t>(1)</t>
    </r>
  </si>
  <si>
    <t>L'Ente, con popolazione compresa tra 1.000 e 3.000 abitanti, si è avvalso della facoltà assunzionale prevista dall'art. 1 comma 228 della L. 208/2015 come modificato dall'art. 22 del d.l. 50/2017?</t>
  </si>
  <si>
    <t>050    683018</t>
  </si>
  <si>
    <t>050    683033</t>
  </si>
  <si>
    <t>protocollo@comune.orcianopisano.pi.it</t>
  </si>
  <si>
    <t>https://www.comune.orcianopisano.pi.it/</t>
  </si>
  <si>
    <t>Macchelli</t>
  </si>
  <si>
    <t>Paola</t>
  </si>
  <si>
    <t>paolamacchelli@tiscali.it</t>
  </si>
  <si>
    <t>Favilli</t>
  </si>
  <si>
    <t>Tiziano</t>
  </si>
  <si>
    <t>finanziario@comune.orcianopisano.pi.it</t>
  </si>
  <si>
    <t>050683018</t>
  </si>
  <si>
    <t>Delibera di Giunta n. 9 del 07/02/2018</t>
  </si>
</sst>
</file>

<file path=xl/styles.xml><?xml version="1.0" encoding="utf-8"?>
<styleSheet xmlns="http://schemas.openxmlformats.org/spreadsheetml/2006/main">
  <numFmts count="10">
    <numFmt numFmtId="169" formatCode="_-* #,##0_-;\-* #,##0_-;_-* &quot;-&quot;_-;_-@_-"/>
    <numFmt numFmtId="181" formatCode="General_)"/>
    <numFmt numFmtId="202" formatCode="_-&quot;L.&quot;\ * #,##0_-;\-&quot;L.&quot;\ * #,##0_-;_-&quot;L.&quot;\ * &quot;-&quot;_-;_-@_-"/>
    <numFmt numFmtId="205" formatCode="[$€]\ #,##0;[Red]\-[$€]\ #,##0"/>
    <numFmt numFmtId="206" formatCode=";;;"/>
    <numFmt numFmtId="208" formatCode="#,###"/>
    <numFmt numFmtId="214" formatCode="#,##0;\-#,##0;&quot; &quot;"/>
    <numFmt numFmtId="215" formatCode="#,##0.00;\-#,##0.00;&quot; &quot;"/>
    <numFmt numFmtId="216" formatCode="#,###.00;\-#,###.00;;"/>
    <numFmt numFmtId="222" formatCode="#,###.00"/>
  </numFmts>
  <fonts count="169">
    <font>
      <sz val="8"/>
      <name val="Helv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Times New Roman"/>
      <family val="1"/>
    </font>
    <font>
      <u/>
      <sz val="6.4"/>
      <color indexed="12"/>
      <name val="Helv"/>
    </font>
    <font>
      <sz val="11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7"/>
      <name val="MS Serif"/>
      <family val="1"/>
    </font>
    <font>
      <sz val="9"/>
      <name val="Arial"/>
      <family val="2"/>
    </font>
    <font>
      <sz val="6"/>
      <name val="MS Serif"/>
      <family val="1"/>
    </font>
    <font>
      <b/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Helv"/>
    </font>
    <font>
      <b/>
      <sz val="8"/>
      <name val="Helv"/>
    </font>
    <font>
      <b/>
      <sz val="6"/>
      <name val="MS Serif"/>
      <family val="1"/>
    </font>
    <font>
      <i/>
      <sz val="9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i/>
      <sz val="8"/>
      <name val="Helv"/>
    </font>
    <font>
      <b/>
      <sz val="14"/>
      <color indexed="10"/>
      <name val="Helv"/>
    </font>
    <font>
      <b/>
      <i/>
      <sz val="12"/>
      <name val="Arial"/>
      <family val="2"/>
    </font>
    <font>
      <b/>
      <i/>
      <sz val="12"/>
      <name val="Helv"/>
    </font>
    <font>
      <sz val="6"/>
      <name val="Arial"/>
      <family val="2"/>
    </font>
    <font>
      <sz val="6"/>
      <name val="MS Serif"/>
      <family val="1"/>
    </font>
    <font>
      <b/>
      <i/>
      <sz val="11"/>
      <name val="Arial"/>
      <family val="2"/>
    </font>
    <font>
      <b/>
      <sz val="14"/>
      <name val="Helv"/>
    </font>
    <font>
      <sz val="10"/>
      <name val="Courier"/>
      <family val="3"/>
    </font>
    <font>
      <sz val="15"/>
      <name val="Times New Roman"/>
      <family val="1"/>
    </font>
    <font>
      <sz val="15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sz val="8"/>
      <name val="Times New Roman"/>
      <family val="1"/>
    </font>
    <font>
      <sz val="7.5"/>
      <name val="Arial"/>
      <family val="2"/>
    </font>
    <font>
      <sz val="8"/>
      <name val="Courier"/>
      <family val="3"/>
    </font>
    <font>
      <sz val="10"/>
      <color indexed="10"/>
      <name val="Arial"/>
      <family val="2"/>
    </font>
    <font>
      <i/>
      <sz val="8"/>
      <name val="Arial"/>
      <family val="2"/>
    </font>
    <font>
      <b/>
      <sz val="10"/>
      <name val="Times New Roman"/>
      <family val="1"/>
    </font>
    <font>
      <sz val="7"/>
      <name val="MS Serif"/>
      <family val="1"/>
    </font>
    <font>
      <sz val="8"/>
      <name val="Tahoma"/>
      <family val="2"/>
    </font>
    <font>
      <sz val="12"/>
      <name val="Courier"/>
      <family val="3"/>
    </font>
    <font>
      <b/>
      <sz val="8"/>
      <color indexed="9"/>
      <name val="Helv"/>
    </font>
    <font>
      <sz val="8"/>
      <color indexed="9"/>
      <name val="Helv"/>
    </font>
    <font>
      <sz val="8"/>
      <name val="Helv"/>
    </font>
    <font>
      <b/>
      <sz val="16"/>
      <name val="Arial"/>
      <family val="2"/>
    </font>
    <font>
      <sz val="8.5"/>
      <name val="MS Serif"/>
      <family val="1"/>
    </font>
    <font>
      <b/>
      <sz val="12"/>
      <color indexed="10"/>
      <name val="Arial"/>
      <family val="2"/>
    </font>
    <font>
      <sz val="12"/>
      <name val="Times New Roman"/>
      <family val="1"/>
    </font>
    <font>
      <b/>
      <sz val="9"/>
      <color indexed="10"/>
      <name val="Courier"/>
      <family val="3"/>
    </font>
    <font>
      <b/>
      <i/>
      <sz val="9"/>
      <color indexed="48"/>
      <name val="Courier"/>
      <family val="3"/>
    </font>
    <font>
      <u/>
      <sz val="6.4"/>
      <color indexed="12"/>
      <name val="Arial"/>
      <family val="2"/>
    </font>
    <font>
      <sz val="10"/>
      <color indexed="10"/>
      <name val="Courier"/>
      <family val="3"/>
    </font>
    <font>
      <sz val="10"/>
      <name val="Courier"/>
      <family val="3"/>
    </font>
    <font>
      <sz val="12"/>
      <name val="Courier"/>
      <family val="3"/>
    </font>
    <font>
      <sz val="11"/>
      <name val="Courier"/>
      <family val="3"/>
    </font>
    <font>
      <b/>
      <sz val="10"/>
      <color indexed="10"/>
      <name val="Courier"/>
      <family val="3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8"/>
      <color indexed="10"/>
      <name val="Courier"/>
      <family val="3"/>
    </font>
    <font>
      <b/>
      <sz val="8"/>
      <color indexed="10"/>
      <name val="Helv"/>
    </font>
    <font>
      <b/>
      <i/>
      <sz val="13"/>
      <color indexed="8"/>
      <name val="Arial"/>
      <family val="2"/>
    </font>
    <font>
      <b/>
      <sz val="13"/>
      <color indexed="10"/>
      <name val="Arial"/>
      <family val="2"/>
    </font>
    <font>
      <b/>
      <i/>
      <sz val="9"/>
      <name val="Arial"/>
      <family val="2"/>
    </font>
    <font>
      <sz val="8"/>
      <name val="Trebuchet MS"/>
      <family val="2"/>
    </font>
    <font>
      <b/>
      <i/>
      <u/>
      <sz val="11"/>
      <name val="Arial"/>
      <family val="2"/>
    </font>
    <font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52"/>
      <name val="Trebuchet MS"/>
      <family val="2"/>
    </font>
    <font>
      <sz val="8"/>
      <color indexed="52"/>
      <name val="Trebuchet MS"/>
      <family val="2"/>
    </font>
    <font>
      <b/>
      <sz val="8"/>
      <color indexed="9"/>
      <name val="Trebuchet MS"/>
      <family val="2"/>
    </font>
    <font>
      <sz val="8"/>
      <color indexed="62"/>
      <name val="Trebuchet MS"/>
      <family val="2"/>
    </font>
    <font>
      <sz val="8"/>
      <color indexed="60"/>
      <name val="Trebuchet MS"/>
      <family val="2"/>
    </font>
    <font>
      <b/>
      <sz val="8"/>
      <color indexed="63"/>
      <name val="Trebuchet MS"/>
      <family val="2"/>
    </font>
    <font>
      <sz val="10"/>
      <name val="MS Sans Serif"/>
      <family val="2"/>
    </font>
    <font>
      <sz val="8"/>
      <color indexed="10"/>
      <name val="Trebuchet MS"/>
      <family val="2"/>
    </font>
    <font>
      <i/>
      <sz val="8"/>
      <color indexed="23"/>
      <name val="Trebuchet MS"/>
      <family val="2"/>
    </font>
    <font>
      <b/>
      <sz val="18"/>
      <color indexed="56"/>
      <name val="Cambria"/>
      <family val="2"/>
    </font>
    <font>
      <b/>
      <sz val="15"/>
      <color indexed="56"/>
      <name val="Trebuchet MS"/>
      <family val="2"/>
    </font>
    <font>
      <b/>
      <sz val="13"/>
      <color indexed="56"/>
      <name val="Trebuchet MS"/>
      <family val="2"/>
    </font>
    <font>
      <b/>
      <sz val="11"/>
      <color indexed="56"/>
      <name val="Trebuchet MS"/>
      <family val="2"/>
    </font>
    <font>
      <b/>
      <sz val="8"/>
      <color indexed="8"/>
      <name val="Trebuchet MS"/>
      <family val="2"/>
    </font>
    <font>
      <sz val="8"/>
      <color indexed="20"/>
      <name val="Trebuchet MS"/>
      <family val="2"/>
    </font>
    <font>
      <sz val="8"/>
      <color indexed="17"/>
      <name val="Trebuchet MS"/>
      <family val="2"/>
    </font>
    <font>
      <b/>
      <sz val="18"/>
      <color indexed="8"/>
      <name val="Arial"/>
      <family val="2"/>
    </font>
    <font>
      <sz val="11"/>
      <color indexed="10"/>
      <name val="Arial"/>
      <family val="2"/>
    </font>
    <font>
      <b/>
      <sz val="10"/>
      <color indexed="8"/>
      <name val="Arial"/>
      <family val="2"/>
    </font>
    <font>
      <sz val="7"/>
      <name val="Small Fonts"/>
      <family val="2"/>
    </font>
    <font>
      <sz val="7"/>
      <color indexed="30"/>
      <name val="Arial"/>
      <family val="2"/>
    </font>
    <font>
      <sz val="8"/>
      <color indexed="30"/>
      <name val="Arial"/>
      <family val="2"/>
    </font>
    <font>
      <b/>
      <sz val="11"/>
      <color indexed="8"/>
      <name val="Arial"/>
      <family val="2"/>
    </font>
    <font>
      <b/>
      <sz val="6"/>
      <color indexed="8"/>
      <name val="Arial"/>
      <family val="2"/>
    </font>
    <font>
      <u/>
      <sz val="10"/>
      <name val="Courier"/>
      <family val="3"/>
    </font>
    <font>
      <i/>
      <sz val="10"/>
      <name val="Arial"/>
      <family val="2"/>
    </font>
    <font>
      <i/>
      <sz val="11"/>
      <name val="Arial"/>
      <family val="2"/>
    </font>
    <font>
      <b/>
      <sz val="10"/>
      <color indexed="10"/>
      <name val="Arial"/>
      <family val="2"/>
    </font>
    <font>
      <i/>
      <sz val="8.1999999999999993"/>
      <name val="Arial"/>
      <family val="2"/>
    </font>
    <font>
      <b/>
      <sz val="10"/>
      <name val="Courier"/>
      <family val="3"/>
    </font>
    <font>
      <b/>
      <sz val="9"/>
      <color indexed="48"/>
      <name val="Courier"/>
      <family val="3"/>
    </font>
    <font>
      <u/>
      <sz val="8"/>
      <name val="Helv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7"/>
      <name val="Helv"/>
    </font>
    <font>
      <b/>
      <sz val="7"/>
      <name val="Helv"/>
    </font>
    <font>
      <sz val="11"/>
      <name val="Calibri"/>
      <family val="2"/>
    </font>
    <font>
      <u/>
      <sz val="10"/>
      <name val="Arial"/>
      <family val="2"/>
    </font>
    <font>
      <u/>
      <sz val="11"/>
      <name val="Arial"/>
      <family val="2"/>
    </font>
    <font>
      <i/>
      <sz val="10"/>
      <name val="MS Serif"/>
      <family val="1"/>
    </font>
    <font>
      <u/>
      <sz val="9"/>
      <color indexed="12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b/>
      <sz val="8"/>
      <color indexed="8"/>
      <name val="Arial"/>
      <family val="2"/>
    </font>
    <font>
      <u/>
      <sz val="12"/>
      <name val="Arial"/>
      <family val="2"/>
    </font>
    <font>
      <u/>
      <sz val="8"/>
      <name val="Arial"/>
      <family val="2"/>
    </font>
    <font>
      <u/>
      <sz val="13"/>
      <name val="Arial"/>
      <family val="2"/>
    </font>
    <font>
      <sz val="12"/>
      <name val="Cambria"/>
      <family val="1"/>
    </font>
    <font>
      <b/>
      <sz val="12"/>
      <name val="Helv"/>
    </font>
    <font>
      <sz val="8"/>
      <color indexed="9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rgb="FFFF0000"/>
      <name val="Helv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8"/>
      <color theme="0"/>
      <name val="Helv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sz val="8"/>
      <color rgb="FFFF0000"/>
      <name val="Helv"/>
    </font>
    <font>
      <u/>
      <sz val="8"/>
      <color theme="0"/>
      <name val="Helv"/>
    </font>
    <font>
      <sz val="18"/>
      <color theme="1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8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  <font>
      <b/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0"/>
      <color theme="0"/>
      <name val="Courier"/>
      <family val="3"/>
    </font>
    <font>
      <sz val="8"/>
      <color rgb="FF0000CC"/>
      <name val="Helv"/>
    </font>
    <font>
      <sz val="10"/>
      <color rgb="FFFF0000"/>
      <name val="Courier"/>
      <family val="3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b/>
      <sz val="10"/>
      <color rgb="FFFF0000"/>
      <name val="Helv"/>
    </font>
    <font>
      <b/>
      <i/>
      <sz val="12"/>
      <color theme="1"/>
      <name val="Arial"/>
      <family val="2"/>
    </font>
    <font>
      <b/>
      <sz val="18"/>
      <color rgb="FFFF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2" fillId="2" borderId="0" applyNumberFormat="0" applyBorder="0" applyAlignment="0" applyProtection="0"/>
    <xf numFmtId="0" fontId="82" fillId="3" borderId="0" applyNumberFormat="0" applyBorder="0" applyAlignment="0" applyProtection="0"/>
    <xf numFmtId="0" fontId="82" fillId="4" borderId="0" applyNumberFormat="0" applyBorder="0" applyAlignment="0" applyProtection="0"/>
    <xf numFmtId="0" fontId="82" fillId="5" borderId="0" applyNumberFormat="0" applyBorder="0" applyAlignment="0" applyProtection="0"/>
    <xf numFmtId="0" fontId="82" fillId="6" borderId="0" applyNumberFormat="0" applyBorder="0" applyAlignment="0" applyProtection="0"/>
    <xf numFmtId="0" fontId="82" fillId="7" borderId="0" applyNumberFormat="0" applyBorder="0" applyAlignment="0" applyProtection="0"/>
    <xf numFmtId="0" fontId="82" fillId="8" borderId="0" applyNumberFormat="0" applyBorder="0" applyAlignment="0" applyProtection="0"/>
    <xf numFmtId="0" fontId="82" fillId="9" borderId="0" applyNumberFormat="0" applyBorder="0" applyAlignment="0" applyProtection="0"/>
    <xf numFmtId="0" fontId="82" fillId="10" borderId="0" applyNumberFormat="0" applyBorder="0" applyAlignment="0" applyProtection="0"/>
    <xf numFmtId="0" fontId="82" fillId="5" borderId="0" applyNumberFormat="0" applyBorder="0" applyAlignment="0" applyProtection="0"/>
    <xf numFmtId="0" fontId="82" fillId="8" borderId="0" applyNumberFormat="0" applyBorder="0" applyAlignment="0" applyProtection="0"/>
    <xf numFmtId="0" fontId="82" fillId="11" borderId="0" applyNumberFormat="0" applyBorder="0" applyAlignment="0" applyProtection="0"/>
    <xf numFmtId="0" fontId="83" fillId="12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4" fillId="16" borderId="1" applyNumberFormat="0" applyAlignment="0" applyProtection="0"/>
    <xf numFmtId="0" fontId="85" fillId="0" borderId="2" applyNumberFormat="0" applyFill="0" applyAlignment="0" applyProtection="0"/>
    <xf numFmtId="0" fontId="86" fillId="17" borderId="3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3" fillId="18" borderId="0" applyNumberFormat="0" applyBorder="0" applyAlignment="0" applyProtection="0"/>
    <xf numFmtId="0" fontId="83" fillId="19" borderId="0" applyNumberFormat="0" applyBorder="0" applyAlignment="0" applyProtection="0"/>
    <xf numFmtId="0" fontId="83" fillId="20" borderId="0" applyNumberFormat="0" applyBorder="0" applyAlignment="0" applyProtection="0"/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21" borderId="0" applyNumberFormat="0" applyBorder="0" applyAlignment="0" applyProtection="0"/>
    <xf numFmtId="205" fontId="30" fillId="0" borderId="0" applyFont="0" applyFill="0" applyBorder="0" applyAlignment="0" applyProtection="0"/>
    <xf numFmtId="0" fontId="87" fillId="7" borderId="1" applyNumberFormat="0" applyAlignment="0" applyProtection="0"/>
    <xf numFmtId="0" fontId="136" fillId="0" borderId="0" applyNumberFormat="0" applyBorder="0" applyAlignment="0"/>
    <xf numFmtId="40" fontId="1" fillId="0" borderId="0" applyFont="0" applyFill="0" applyBorder="0" applyAlignment="0" applyProtection="0"/>
    <xf numFmtId="169" fontId="64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88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136" fillId="0" borderId="0"/>
    <xf numFmtId="0" fontId="136" fillId="0" borderId="0"/>
    <xf numFmtId="0" fontId="30" fillId="0" borderId="0"/>
    <xf numFmtId="0" fontId="137" fillId="0" borderId="0"/>
    <xf numFmtId="0" fontId="136" fillId="0" borderId="0"/>
    <xf numFmtId="0" fontId="30" fillId="0" borderId="0"/>
    <xf numFmtId="0" fontId="30" fillId="0" borderId="0"/>
    <xf numFmtId="0" fontId="82" fillId="0" borderId="0"/>
    <xf numFmtId="181" fontId="44" fillId="0" borderId="0"/>
    <xf numFmtId="0" fontId="4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2" fillId="23" borderId="4" applyNumberFormat="0" applyFont="0" applyAlignment="0" applyProtection="0"/>
    <xf numFmtId="0" fontId="89" fillId="16" borderId="5" applyNumberFormat="0" applyAlignment="0" applyProtection="0"/>
    <xf numFmtId="9" fontId="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6" applyNumberFormat="0" applyFill="0" applyAlignment="0" applyProtection="0"/>
    <xf numFmtId="0" fontId="95" fillId="0" borderId="7" applyNumberFormat="0" applyFill="0" applyAlignment="0" applyProtection="0"/>
    <xf numFmtId="0" fontId="96" fillId="0" borderId="8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9" applyNumberFormat="0" applyFill="0" applyAlignment="0" applyProtection="0"/>
    <xf numFmtId="0" fontId="98" fillId="3" borderId="0" applyNumberFormat="0" applyBorder="0" applyAlignment="0" applyProtection="0"/>
    <xf numFmtId="0" fontId="99" fillId="4" borderId="0" applyNumberFormat="0" applyBorder="0" applyAlignment="0" applyProtection="0"/>
    <xf numFmtId="202" fontId="64" fillId="0" borderId="0" applyFont="0" applyFill="0" applyBorder="0" applyAlignment="0" applyProtection="0"/>
  </cellStyleXfs>
  <cellXfs count="1596">
    <xf numFmtId="0" fontId="0" fillId="0" borderId="0" xfId="0"/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10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horizontal="centerContinuous"/>
    </xf>
    <xf numFmtId="0" fontId="3" fillId="0" borderId="14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Continuous" vertical="center"/>
    </xf>
    <xf numFmtId="0" fontId="6" fillId="0" borderId="16" xfId="0" applyFont="1" applyFill="1" applyBorder="1" applyAlignment="1" applyProtection="1">
      <alignment horizontal="right" vertical="center"/>
    </xf>
    <xf numFmtId="0" fontId="11" fillId="0" borderId="17" xfId="0" applyFont="1" applyFill="1" applyBorder="1" applyAlignment="1">
      <alignment horizontal="center"/>
    </xf>
    <xf numFmtId="0" fontId="13" fillId="0" borderId="18" xfId="0" applyFont="1" applyFill="1" applyBorder="1" applyAlignment="1" applyProtection="1">
      <alignment horizontal="centerContinuous" vertical="center" wrapText="1"/>
    </xf>
    <xf numFmtId="0" fontId="13" fillId="0" borderId="19" xfId="0" applyFont="1" applyFill="1" applyBorder="1" applyAlignment="1" applyProtection="1">
      <alignment horizontal="centerContinuous" vertical="center"/>
    </xf>
    <xf numFmtId="0" fontId="13" fillId="0" borderId="20" xfId="0" applyFont="1" applyFill="1" applyBorder="1" applyAlignment="1">
      <alignment horizontal="centerContinuous" vertical="center"/>
    </xf>
    <xf numFmtId="0" fontId="13" fillId="0" borderId="19" xfId="0" applyFont="1" applyFill="1" applyBorder="1" applyAlignment="1" applyProtection="1">
      <alignment horizontal="centerContinuous" vertical="center" wrapText="1"/>
    </xf>
    <xf numFmtId="0" fontId="3" fillId="0" borderId="21" xfId="0" applyFont="1" applyFill="1" applyBorder="1" applyAlignment="1" applyProtection="1">
      <alignment horizontal="left"/>
    </xf>
    <xf numFmtId="0" fontId="14" fillId="0" borderId="0" xfId="0" applyFont="1"/>
    <xf numFmtId="0" fontId="10" fillId="0" borderId="22" xfId="0" applyFont="1" applyFill="1" applyBorder="1" applyAlignment="1" applyProtection="1">
      <alignment horizontal="center" vertical="center"/>
    </xf>
    <xf numFmtId="0" fontId="2" fillId="0" borderId="0" xfId="55" applyFont="1" applyBorder="1" applyAlignment="1" applyProtection="1">
      <alignment horizontal="left" vertical="top"/>
    </xf>
    <xf numFmtId="0" fontId="3" fillId="0" borderId="0" xfId="55" applyFont="1" applyBorder="1" applyAlignment="1">
      <alignment horizontal="center"/>
    </xf>
    <xf numFmtId="0" fontId="3" fillId="0" borderId="0" xfId="55" applyFont="1" applyBorder="1"/>
    <xf numFmtId="0" fontId="3" fillId="0" borderId="0" xfId="55" applyFont="1"/>
    <xf numFmtId="0" fontId="10" fillId="0" borderId="22" xfId="55" applyFont="1" applyFill="1" applyBorder="1" applyAlignment="1" applyProtection="1">
      <alignment horizontal="center" vertical="center"/>
    </xf>
    <xf numFmtId="0" fontId="6" fillId="0" borderId="23" xfId="55" applyFont="1" applyFill="1" applyBorder="1" applyAlignment="1" applyProtection="1">
      <alignment horizontal="center" vertical="center"/>
    </xf>
    <xf numFmtId="0" fontId="6" fillId="0" borderId="24" xfId="55" applyFont="1" applyFill="1" applyBorder="1" applyAlignment="1" applyProtection="1">
      <alignment horizontal="right" vertical="center"/>
    </xf>
    <xf numFmtId="0" fontId="3" fillId="0" borderId="0" xfId="55" applyFont="1" applyAlignment="1">
      <alignment horizontal="center"/>
    </xf>
    <xf numFmtId="0" fontId="15" fillId="0" borderId="0" xfId="54"/>
    <xf numFmtId="0" fontId="16" fillId="0" borderId="25" xfId="54" applyFont="1" applyFill="1" applyBorder="1" applyAlignment="1">
      <alignment horizontal="centerContinuous" vertical="center" wrapText="1"/>
    </xf>
    <xf numFmtId="0" fontId="3" fillId="0" borderId="26" xfId="54" applyFont="1" applyFill="1" applyBorder="1" applyAlignment="1">
      <alignment horizontal="centerContinuous" vertical="center" wrapText="1"/>
    </xf>
    <xf numFmtId="0" fontId="6" fillId="0" borderId="27" xfId="54" applyFont="1" applyFill="1" applyBorder="1" applyAlignment="1" applyProtection="1">
      <alignment horizontal="center" vertical="center"/>
    </xf>
    <xf numFmtId="0" fontId="18" fillId="0" borderId="28" xfId="54" applyFont="1" applyFill="1" applyBorder="1" applyAlignment="1" applyProtection="1">
      <alignment horizontal="centerContinuous" vertical="center" wrapText="1"/>
    </xf>
    <xf numFmtId="0" fontId="18" fillId="0" borderId="0" xfId="54" applyFont="1" applyFill="1" applyBorder="1" applyAlignment="1" applyProtection="1">
      <alignment horizontal="centerContinuous" vertical="center" wrapText="1"/>
    </xf>
    <xf numFmtId="0" fontId="18" fillId="0" borderId="29" xfId="54" applyFont="1" applyFill="1" applyBorder="1" applyAlignment="1" applyProtection="1">
      <alignment horizontal="center" vertical="center" wrapText="1"/>
    </xf>
    <xf numFmtId="0" fontId="18" fillId="0" borderId="29" xfId="54" applyFont="1" applyFill="1" applyBorder="1" applyAlignment="1" applyProtection="1">
      <alignment horizontal="centerContinuous" vertical="center" wrapText="1"/>
    </xf>
    <xf numFmtId="0" fontId="6" fillId="0" borderId="24" xfId="54" applyFont="1" applyFill="1" applyBorder="1" applyAlignment="1" applyProtection="1">
      <alignment horizontal="right" vertical="center"/>
    </xf>
    <xf numFmtId="0" fontId="3" fillId="0" borderId="30" xfId="54" applyFont="1" applyFill="1" applyBorder="1" applyAlignment="1" applyProtection="1">
      <alignment horizontal="center"/>
    </xf>
    <xf numFmtId="0" fontId="3" fillId="0" borderId="0" xfId="53" applyFont="1"/>
    <xf numFmtId="0" fontId="4" fillId="0" borderId="0" xfId="53" applyFont="1"/>
    <xf numFmtId="0" fontId="3" fillId="0" borderId="0" xfId="53" applyFont="1" applyAlignment="1">
      <alignment horizontal="center"/>
    </xf>
    <xf numFmtId="0" fontId="3" fillId="0" borderId="10" xfId="53" applyFont="1" applyFill="1" applyBorder="1" applyAlignment="1">
      <alignment horizontal="centerContinuous"/>
    </xf>
    <xf numFmtId="0" fontId="3" fillId="0" borderId="11" xfId="53" applyFont="1" applyFill="1" applyBorder="1" applyAlignment="1">
      <alignment horizontal="center"/>
    </xf>
    <xf numFmtId="0" fontId="6" fillId="0" borderId="12" xfId="53" applyFont="1" applyFill="1" applyBorder="1" applyAlignment="1">
      <alignment horizontal="centerContinuous" vertical="center"/>
    </xf>
    <xf numFmtId="0" fontId="3" fillId="0" borderId="12" xfId="53" applyFont="1" applyFill="1" applyBorder="1" applyAlignment="1">
      <alignment horizontal="centerContinuous" vertical="center"/>
    </xf>
    <xf numFmtId="0" fontId="3" fillId="0" borderId="31" xfId="53" applyFont="1" applyFill="1" applyBorder="1" applyAlignment="1">
      <alignment horizontal="centerContinuous" vertical="center"/>
    </xf>
    <xf numFmtId="0" fontId="6" fillId="0" borderId="23" xfId="53" applyFont="1" applyFill="1" applyBorder="1" applyAlignment="1" applyProtection="1">
      <alignment horizontal="center" vertical="center"/>
    </xf>
    <xf numFmtId="0" fontId="3" fillId="0" borderId="17" xfId="53" applyFont="1" applyFill="1" applyBorder="1" applyAlignment="1">
      <alignment horizontal="center"/>
    </xf>
    <xf numFmtId="0" fontId="20" fillId="0" borderId="32" xfId="53" applyFont="1" applyFill="1" applyBorder="1" applyAlignment="1" applyProtection="1">
      <alignment horizontal="center"/>
    </xf>
    <xf numFmtId="0" fontId="20" fillId="0" borderId="33" xfId="53" applyFont="1" applyFill="1" applyBorder="1" applyAlignment="1" applyProtection="1">
      <alignment horizontal="center"/>
    </xf>
    <xf numFmtId="0" fontId="20" fillId="0" borderId="34" xfId="53" applyFont="1" applyFill="1" applyBorder="1" applyAlignment="1" applyProtection="1">
      <alignment horizontal="center"/>
    </xf>
    <xf numFmtId="0" fontId="6" fillId="0" borderId="24" xfId="53" applyFont="1" applyFill="1" applyBorder="1" applyAlignment="1" applyProtection="1">
      <alignment horizontal="right" vertical="center"/>
    </xf>
    <xf numFmtId="0" fontId="3" fillId="0" borderId="30" xfId="53" applyFont="1" applyFill="1" applyBorder="1" applyAlignment="1" applyProtection="1">
      <alignment horizontal="center"/>
    </xf>
    <xf numFmtId="0" fontId="3" fillId="0" borderId="0" xfId="52" applyFont="1"/>
    <xf numFmtId="0" fontId="4" fillId="0" borderId="0" xfId="52" applyFont="1"/>
    <xf numFmtId="0" fontId="3" fillId="0" borderId="0" xfId="52" applyFont="1" applyAlignment="1">
      <alignment horizontal="center"/>
    </xf>
    <xf numFmtId="0" fontId="3" fillId="0" borderId="10" xfId="52" applyFont="1" applyFill="1" applyBorder="1" applyAlignment="1">
      <alignment horizontal="centerContinuous"/>
    </xf>
    <xf numFmtId="0" fontId="3" fillId="0" borderId="11" xfId="52" applyFont="1" applyFill="1" applyBorder="1" applyAlignment="1">
      <alignment horizontal="center"/>
    </xf>
    <xf numFmtId="0" fontId="6" fillId="0" borderId="12" xfId="52" applyFont="1" applyFill="1" applyBorder="1" applyAlignment="1">
      <alignment horizontal="centerContinuous" vertical="center"/>
    </xf>
    <xf numFmtId="0" fontId="3" fillId="0" borderId="12" xfId="52" applyFont="1" applyFill="1" applyBorder="1" applyAlignment="1">
      <alignment horizontal="centerContinuous" vertical="center"/>
    </xf>
    <xf numFmtId="0" fontId="3" fillId="0" borderId="31" xfId="52" applyFont="1" applyFill="1" applyBorder="1" applyAlignment="1">
      <alignment horizontal="centerContinuous" vertical="center"/>
    </xf>
    <xf numFmtId="0" fontId="6" fillId="0" borderId="23" xfId="52" applyFont="1" applyFill="1" applyBorder="1" applyAlignment="1" applyProtection="1">
      <alignment horizontal="center" vertical="center"/>
    </xf>
    <xf numFmtId="0" fontId="6" fillId="0" borderId="18" xfId="52" applyFont="1" applyFill="1" applyBorder="1" applyAlignment="1" applyProtection="1">
      <alignment horizontal="centerContinuous" vertical="center"/>
    </xf>
    <xf numFmtId="0" fontId="3" fillId="0" borderId="17" xfId="52" applyFont="1" applyFill="1" applyBorder="1" applyAlignment="1">
      <alignment horizontal="center"/>
    </xf>
    <xf numFmtId="0" fontId="20" fillId="0" borderId="32" xfId="52" applyFont="1" applyFill="1" applyBorder="1" applyAlignment="1" applyProtection="1">
      <alignment horizontal="center"/>
    </xf>
    <xf numFmtId="0" fontId="20" fillId="0" borderId="33" xfId="52" applyFont="1" applyFill="1" applyBorder="1" applyAlignment="1" applyProtection="1">
      <alignment horizontal="center"/>
    </xf>
    <xf numFmtId="0" fontId="20" fillId="0" borderId="34" xfId="52" applyFont="1" applyFill="1" applyBorder="1" applyAlignment="1" applyProtection="1">
      <alignment horizontal="center"/>
    </xf>
    <xf numFmtId="0" fontId="6" fillId="0" borderId="24" xfId="52" applyFont="1" applyFill="1" applyBorder="1" applyAlignment="1" applyProtection="1">
      <alignment horizontal="right" vertical="center"/>
    </xf>
    <xf numFmtId="0" fontId="3" fillId="0" borderId="30" xfId="52" applyFont="1" applyFill="1" applyBorder="1" applyAlignment="1" applyProtection="1">
      <alignment horizontal="center"/>
    </xf>
    <xf numFmtId="0" fontId="2" fillId="0" borderId="0" xfId="51" applyFont="1" applyBorder="1" applyAlignment="1" applyProtection="1">
      <alignment horizontal="left" vertical="top"/>
    </xf>
    <xf numFmtId="0" fontId="3" fillId="0" borderId="0" xfId="51" applyFont="1" applyBorder="1" applyAlignment="1">
      <alignment horizontal="center"/>
    </xf>
    <xf numFmtId="0" fontId="3" fillId="0" borderId="0" xfId="51" applyFont="1" applyBorder="1"/>
    <xf numFmtId="0" fontId="3" fillId="0" borderId="0" xfId="51" applyFont="1" applyBorder="1" applyAlignment="1" applyProtection="1">
      <alignment horizontal="left"/>
    </xf>
    <xf numFmtId="0" fontId="3" fillId="0" borderId="0" xfId="51" applyFont="1"/>
    <xf numFmtId="0" fontId="3" fillId="0" borderId="10" xfId="51" applyFont="1" applyFill="1" applyBorder="1" applyAlignment="1">
      <alignment horizontal="centerContinuous"/>
    </xf>
    <xf numFmtId="0" fontId="3" fillId="0" borderId="11" xfId="51" applyFont="1" applyFill="1" applyBorder="1" applyAlignment="1">
      <alignment horizontal="center"/>
    </xf>
    <xf numFmtId="0" fontId="6" fillId="0" borderId="12" xfId="51" applyFont="1" applyFill="1" applyBorder="1" applyAlignment="1">
      <alignment horizontal="centerContinuous" vertical="center"/>
    </xf>
    <xf numFmtId="0" fontId="3" fillId="0" borderId="12" xfId="51" applyFont="1" applyFill="1" applyBorder="1" applyAlignment="1">
      <alignment horizontal="centerContinuous" vertical="center"/>
    </xf>
    <xf numFmtId="0" fontId="3" fillId="0" borderId="31" xfId="51" applyFont="1" applyFill="1" applyBorder="1" applyAlignment="1">
      <alignment horizontal="centerContinuous" vertical="center"/>
    </xf>
    <xf numFmtId="0" fontId="6" fillId="0" borderId="23" xfId="51" applyFont="1" applyFill="1" applyBorder="1" applyAlignment="1" applyProtection="1">
      <alignment horizontal="center" vertical="center"/>
    </xf>
    <xf numFmtId="0" fontId="3" fillId="0" borderId="17" xfId="51" applyFont="1" applyFill="1" applyBorder="1" applyAlignment="1">
      <alignment horizontal="center"/>
    </xf>
    <xf numFmtId="0" fontId="6" fillId="0" borderId="24" xfId="51" applyFont="1" applyFill="1" applyBorder="1" applyAlignment="1" applyProtection="1">
      <alignment horizontal="right" vertical="center"/>
    </xf>
    <xf numFmtId="0" fontId="3" fillId="0" borderId="30" xfId="51" applyFont="1" applyFill="1" applyBorder="1" applyAlignment="1" applyProtection="1">
      <alignment horizontal="center"/>
    </xf>
    <xf numFmtId="0" fontId="3" fillId="0" borderId="0" xfId="51" applyFont="1" applyAlignment="1">
      <alignment horizontal="center"/>
    </xf>
    <xf numFmtId="0" fontId="3" fillId="0" borderId="0" xfId="50" applyFont="1"/>
    <xf numFmtId="0" fontId="3" fillId="0" borderId="10" xfId="50" applyFont="1" applyFill="1" applyBorder="1" applyAlignment="1">
      <alignment horizontal="centerContinuous"/>
    </xf>
    <xf numFmtId="0" fontId="3" fillId="0" borderId="11" xfId="50" applyFont="1" applyFill="1" applyBorder="1" applyAlignment="1">
      <alignment horizontal="center"/>
    </xf>
    <xf numFmtId="0" fontId="3" fillId="0" borderId="12" xfId="50" applyFont="1" applyFill="1" applyBorder="1" applyAlignment="1">
      <alignment horizontal="centerContinuous" vertical="center"/>
    </xf>
    <xf numFmtId="0" fontId="3" fillId="0" borderId="31" xfId="50" applyFont="1" applyFill="1" applyBorder="1" applyAlignment="1">
      <alignment horizontal="centerContinuous" vertical="center"/>
    </xf>
    <xf numFmtId="0" fontId="6" fillId="0" borderId="23" xfId="50" applyFont="1" applyFill="1" applyBorder="1" applyAlignment="1" applyProtection="1">
      <alignment horizontal="center" vertical="center"/>
    </xf>
    <xf numFmtId="0" fontId="3" fillId="0" borderId="17" xfId="50" applyFont="1" applyFill="1" applyBorder="1" applyAlignment="1">
      <alignment horizontal="center"/>
    </xf>
    <xf numFmtId="0" fontId="6" fillId="0" borderId="24" xfId="50" applyFont="1" applyFill="1" applyBorder="1" applyAlignment="1" applyProtection="1">
      <alignment horizontal="right" vertical="center"/>
    </xf>
    <xf numFmtId="0" fontId="3" fillId="0" borderId="30" xfId="50" applyFont="1" applyFill="1" applyBorder="1" applyAlignment="1" applyProtection="1">
      <alignment horizontal="center"/>
    </xf>
    <xf numFmtId="0" fontId="3" fillId="0" borderId="0" xfId="50" applyFont="1" applyAlignment="1">
      <alignment horizontal="center"/>
    </xf>
    <xf numFmtId="0" fontId="3" fillId="0" borderId="15" xfId="0" applyFont="1" applyFill="1" applyBorder="1" applyAlignment="1">
      <alignment horizontal="centerContinuous" vertical="center"/>
    </xf>
    <xf numFmtId="0" fontId="24" fillId="0" borderId="0" xfId="0" applyFont="1"/>
    <xf numFmtId="0" fontId="3" fillId="0" borderId="35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27" fillId="0" borderId="12" xfId="0" applyFont="1" applyFill="1" applyBorder="1" applyAlignment="1">
      <alignment horizontal="centerContinuous" vertical="center"/>
    </xf>
    <xf numFmtId="0" fontId="3" fillId="0" borderId="36" xfId="0" applyFont="1" applyFill="1" applyBorder="1" applyAlignment="1">
      <alignment horizontal="centerContinuous" vertical="center"/>
    </xf>
    <xf numFmtId="0" fontId="28" fillId="0" borderId="22" xfId="0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38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justify"/>
    </xf>
    <xf numFmtId="0" fontId="29" fillId="0" borderId="0" xfId="0" applyFont="1"/>
    <xf numFmtId="0" fontId="14" fillId="0" borderId="40" xfId="0" applyFont="1" applyFill="1" applyBorder="1" applyAlignment="1" applyProtection="1">
      <alignment horizontal="justify"/>
    </xf>
    <xf numFmtId="0" fontId="0" fillId="0" borderId="0" xfId="0" applyFont="1"/>
    <xf numFmtId="0" fontId="14" fillId="0" borderId="39" xfId="0" applyFont="1" applyFill="1" applyBorder="1" applyAlignment="1" applyProtection="1">
      <alignment horizontal="left"/>
    </xf>
    <xf numFmtId="0" fontId="14" fillId="0" borderId="39" xfId="0" applyFont="1" applyFill="1" applyBorder="1" applyAlignment="1" applyProtection="1">
      <alignment horizontal="justify" wrapText="1"/>
    </xf>
    <xf numFmtId="0" fontId="14" fillId="0" borderId="39" xfId="0" applyFont="1" applyFill="1" applyBorder="1" applyAlignment="1" applyProtection="1">
      <alignment wrapText="1"/>
    </xf>
    <xf numFmtId="0" fontId="6" fillId="0" borderId="41" xfId="0" applyFont="1" applyFill="1" applyBorder="1" applyAlignment="1">
      <alignment horizontal="centerContinuous" vertical="center" wrapText="1"/>
    </xf>
    <xf numFmtId="0" fontId="6" fillId="0" borderId="17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 applyProtection="1">
      <alignment horizontal="right" vertic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>
      <alignment horizontal="centerContinuous" vertical="center"/>
    </xf>
    <xf numFmtId="0" fontId="6" fillId="0" borderId="23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Continuous" vertical="center" wrapText="1"/>
    </xf>
    <xf numFmtId="0" fontId="3" fillId="0" borderId="10" xfId="0" applyFont="1" applyFill="1" applyBorder="1" applyAlignment="1" applyProtection="1">
      <alignment horizontal="centerContinuous"/>
    </xf>
    <xf numFmtId="0" fontId="6" fillId="0" borderId="12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31" xfId="0" applyFont="1" applyFill="1" applyBorder="1" applyAlignment="1" applyProtection="1">
      <alignment horizontal="centerContinuous" vertical="center"/>
    </xf>
    <xf numFmtId="0" fontId="6" fillId="0" borderId="42" xfId="0" applyFont="1" applyFill="1" applyBorder="1" applyAlignment="1" applyProtection="1">
      <alignment horizontal="centerContinuous" vertical="center" wrapText="1"/>
    </xf>
    <xf numFmtId="0" fontId="6" fillId="0" borderId="37" xfId="0" applyFont="1" applyFill="1" applyBorder="1" applyAlignment="1" applyProtection="1">
      <alignment horizontal="centerContinuous" vertical="center" wrapText="1"/>
    </xf>
    <xf numFmtId="0" fontId="6" fillId="0" borderId="18" xfId="0" applyFont="1" applyFill="1" applyBorder="1" applyAlignment="1" applyProtection="1">
      <alignment horizontal="centerContinuous" vertical="center" wrapText="1"/>
    </xf>
    <xf numFmtId="0" fontId="6" fillId="0" borderId="43" xfId="0" applyFont="1" applyFill="1" applyBorder="1" applyAlignment="1" applyProtection="1">
      <alignment horizontal="centerContinuous" vertical="center" wrapText="1"/>
    </xf>
    <xf numFmtId="0" fontId="6" fillId="0" borderId="37" xfId="0" applyFont="1" applyFill="1" applyBorder="1" applyAlignment="1">
      <alignment horizontal="centerContinuous" vertical="center" wrapText="1"/>
    </xf>
    <xf numFmtId="0" fontId="6" fillId="0" borderId="43" xfId="0" applyFont="1" applyFill="1" applyBorder="1" applyAlignment="1">
      <alignment horizontal="centerContinuous" vertical="center" wrapText="1"/>
    </xf>
    <xf numFmtId="0" fontId="6" fillId="0" borderId="44" xfId="0" applyFont="1" applyFill="1" applyBorder="1" applyAlignment="1" applyProtection="1">
      <alignment horizontal="centerContinuous" vertical="center" wrapText="1"/>
    </xf>
    <xf numFmtId="0" fontId="3" fillId="0" borderId="35" xfId="0" applyFont="1" applyFill="1" applyBorder="1" applyAlignment="1" applyProtection="1">
      <alignment horizontal="left"/>
    </xf>
    <xf numFmtId="0" fontId="6" fillId="0" borderId="43" xfId="52" applyFont="1" applyFill="1" applyBorder="1" applyAlignment="1">
      <alignment horizontal="centerContinuous" vertical="center"/>
    </xf>
    <xf numFmtId="0" fontId="14" fillId="0" borderId="40" xfId="0" applyFont="1" applyFill="1" applyBorder="1" applyAlignment="1" applyProtection="1">
      <alignment horizontal="justify" wrapText="1"/>
    </xf>
    <xf numFmtId="0" fontId="13" fillId="24" borderId="45" xfId="50" applyFont="1" applyFill="1" applyBorder="1" applyAlignment="1">
      <alignment horizontal="centerContinuous" vertical="center"/>
    </xf>
    <xf numFmtId="0" fontId="3" fillId="24" borderId="12" xfId="50" applyFont="1" applyFill="1" applyBorder="1" applyAlignment="1">
      <alignment horizontal="centerContinuous" vertical="center"/>
    </xf>
    <xf numFmtId="0" fontId="3" fillId="24" borderId="31" xfId="50" applyFont="1" applyFill="1" applyBorder="1" applyAlignment="1">
      <alignment horizontal="centerContinuous" vertical="center"/>
    </xf>
    <xf numFmtId="0" fontId="20" fillId="24" borderId="46" xfId="50" applyFont="1" applyFill="1" applyBorder="1" applyAlignment="1" applyProtection="1">
      <alignment horizontal="center"/>
    </xf>
    <xf numFmtId="0" fontId="20" fillId="24" borderId="34" xfId="50" applyFont="1" applyFill="1" applyBorder="1" applyAlignment="1" applyProtection="1">
      <alignment horizontal="center"/>
    </xf>
    <xf numFmtId="0" fontId="20" fillId="24" borderId="32" xfId="50" applyFont="1" applyFill="1" applyBorder="1" applyAlignment="1" applyProtection="1">
      <alignment horizontal="center"/>
    </xf>
    <xf numFmtId="0" fontId="20" fillId="24" borderId="46" xfId="51" applyFont="1" applyFill="1" applyBorder="1" applyAlignment="1" applyProtection="1">
      <alignment horizontal="center"/>
    </xf>
    <xf numFmtId="0" fontId="20" fillId="24" borderId="34" xfId="51" applyFont="1" applyFill="1" applyBorder="1" applyAlignment="1" applyProtection="1">
      <alignment horizontal="center"/>
    </xf>
    <xf numFmtId="0" fontId="20" fillId="24" borderId="32" xfId="51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0" fontId="3" fillId="0" borderId="48" xfId="0" applyFont="1" applyFill="1" applyBorder="1" applyAlignment="1" applyProtection="1">
      <alignment horizontal="left"/>
    </xf>
    <xf numFmtId="0" fontId="6" fillId="0" borderId="49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6" fillId="0" borderId="0" xfId="53" applyFont="1" applyFill="1" applyBorder="1" applyAlignment="1" applyProtection="1">
      <alignment horizontal="right" vertical="center"/>
    </xf>
    <xf numFmtId="0" fontId="3" fillId="0" borderId="0" xfId="53" applyFont="1" applyFill="1" applyBorder="1" applyAlignment="1" applyProtection="1">
      <alignment horizontal="center"/>
    </xf>
    <xf numFmtId="0" fontId="3" fillId="24" borderId="0" xfId="53" applyFont="1" applyFill="1" applyBorder="1"/>
    <xf numFmtId="0" fontId="24" fillId="0" borderId="50" xfId="0" applyFont="1" applyFill="1" applyBorder="1" applyAlignment="1" applyProtection="1">
      <alignment horizontal="center"/>
    </xf>
    <xf numFmtId="0" fontId="24" fillId="0" borderId="35" xfId="0" applyFont="1" applyFill="1" applyBorder="1" applyAlignment="1" applyProtection="1">
      <alignment horizontal="center"/>
    </xf>
    <xf numFmtId="0" fontId="24" fillId="0" borderId="51" xfId="0" applyFont="1" applyFill="1" applyBorder="1" applyAlignment="1" applyProtection="1">
      <alignment horizontal="center"/>
    </xf>
    <xf numFmtId="0" fontId="3" fillId="0" borderId="0" xfId="0" applyFont="1" applyAlignment="1">
      <alignment textRotation="255"/>
    </xf>
    <xf numFmtId="0" fontId="13" fillId="0" borderId="52" xfId="0" applyFont="1" applyFill="1" applyBorder="1" applyAlignment="1" applyProtection="1">
      <alignment horizontal="right"/>
    </xf>
    <xf numFmtId="0" fontId="6" fillId="0" borderId="53" xfId="53" applyFont="1" applyFill="1" applyBorder="1" applyAlignment="1" applyProtection="1">
      <alignment horizontal="center" vertical="center"/>
    </xf>
    <xf numFmtId="0" fontId="6" fillId="0" borderId="53" xfId="53" applyFont="1" applyFill="1" applyBorder="1" applyAlignment="1" applyProtection="1">
      <alignment vertical="center"/>
    </xf>
    <xf numFmtId="0" fontId="34" fillId="0" borderId="30" xfId="5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0" fontId="34" fillId="0" borderId="0" xfId="50" applyFont="1" applyAlignment="1">
      <alignment horizontal="center"/>
    </xf>
    <xf numFmtId="0" fontId="35" fillId="0" borderId="0" xfId="0" applyFont="1"/>
    <xf numFmtId="0" fontId="24" fillId="0" borderId="54" xfId="0" applyFont="1" applyFill="1" applyBorder="1" applyAlignment="1" applyProtection="1">
      <alignment horizontal="center"/>
    </xf>
    <xf numFmtId="0" fontId="24" fillId="0" borderId="55" xfId="0" applyFont="1" applyFill="1" applyBorder="1" applyAlignment="1" applyProtection="1">
      <alignment horizontal="center"/>
    </xf>
    <xf numFmtId="0" fontId="24" fillId="0" borderId="56" xfId="0" applyFont="1" applyFill="1" applyBorder="1" applyAlignment="1" applyProtection="1">
      <alignment horizontal="center"/>
    </xf>
    <xf numFmtId="0" fontId="14" fillId="0" borderId="40" xfId="0" applyFont="1" applyFill="1" applyBorder="1" applyAlignment="1" applyProtection="1">
      <alignment wrapText="1"/>
    </xf>
    <xf numFmtId="0" fontId="14" fillId="0" borderId="22" xfId="0" applyFont="1" applyFill="1" applyBorder="1" applyAlignment="1" applyProtection="1">
      <alignment horizontal="justify"/>
    </xf>
    <xf numFmtId="0" fontId="14" fillId="0" borderId="48" xfId="0" applyFont="1" applyFill="1" applyBorder="1" applyAlignment="1" applyProtection="1">
      <alignment horizontal="justify" wrapText="1"/>
    </xf>
    <xf numFmtId="0" fontId="3" fillId="0" borderId="57" xfId="0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5" xfId="0" applyFont="1" applyBorder="1" applyAlignment="1">
      <alignment horizontal="center" wrapText="1"/>
    </xf>
    <xf numFmtId="0" fontId="3" fillId="0" borderId="35" xfId="0" applyFont="1" applyBorder="1"/>
    <xf numFmtId="0" fontId="10" fillId="0" borderId="35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1" fillId="0" borderId="35" xfId="0" applyFont="1" applyFill="1" applyBorder="1" applyAlignment="1" applyProtection="1">
      <alignment horizontal="center"/>
    </xf>
    <xf numFmtId="0" fontId="13" fillId="0" borderId="50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wrapText="1"/>
    </xf>
    <xf numFmtId="0" fontId="10" fillId="0" borderId="35" xfId="0" applyFont="1" applyBorder="1" applyAlignment="1">
      <alignment horizontal="center"/>
    </xf>
    <xf numFmtId="0" fontId="10" fillId="0" borderId="35" xfId="0" applyFont="1" applyBorder="1" applyAlignment="1">
      <alignment horizontal="center" wrapText="1"/>
    </xf>
    <xf numFmtId="0" fontId="3" fillId="0" borderId="59" xfId="0" applyFont="1" applyFill="1" applyBorder="1" applyAlignment="1">
      <alignment horizontal="center"/>
    </xf>
    <xf numFmtId="0" fontId="11" fillId="0" borderId="35" xfId="0" applyFont="1" applyBorder="1"/>
    <xf numFmtId="0" fontId="11" fillId="0" borderId="0" xfId="0" applyFont="1"/>
    <xf numFmtId="0" fontId="10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0" fontId="36" fillId="0" borderId="0" xfId="0" applyFont="1" applyAlignment="1">
      <alignment horizontal="center"/>
    </xf>
    <xf numFmtId="0" fontId="36" fillId="0" borderId="0" xfId="0" applyFont="1"/>
    <xf numFmtId="3" fontId="13" fillId="0" borderId="60" xfId="0" applyNumberFormat="1" applyFont="1" applyBorder="1" applyAlignment="1">
      <alignment horizontal="center"/>
    </xf>
    <xf numFmtId="3" fontId="13" fillId="0" borderId="61" xfId="0" applyNumberFormat="1" applyFont="1" applyBorder="1" applyAlignment="1">
      <alignment horizontal="center"/>
    </xf>
    <xf numFmtId="3" fontId="3" fillId="24" borderId="35" xfId="0" applyNumberFormat="1" applyFont="1" applyFill="1" applyBorder="1" applyAlignment="1">
      <alignment horizontal="center"/>
    </xf>
    <xf numFmtId="3" fontId="3" fillId="24" borderId="51" xfId="0" applyNumberFormat="1" applyFont="1" applyFill="1" applyBorder="1" applyAlignment="1">
      <alignment horizontal="center"/>
    </xf>
    <xf numFmtId="0" fontId="13" fillId="0" borderId="57" xfId="0" applyFont="1" applyFill="1" applyBorder="1" applyAlignment="1" applyProtection="1">
      <alignment horizontal="center"/>
    </xf>
    <xf numFmtId="0" fontId="13" fillId="0" borderId="62" xfId="0" applyFont="1" applyFill="1" applyBorder="1" applyAlignment="1" applyProtection="1">
      <alignment horizontal="center"/>
    </xf>
    <xf numFmtId="0" fontId="13" fillId="0" borderId="63" xfId="0" applyFont="1" applyFill="1" applyBorder="1" applyAlignment="1" applyProtection="1">
      <alignment horizontal="center"/>
    </xf>
    <xf numFmtId="3" fontId="3" fillId="0" borderId="64" xfId="0" applyNumberFormat="1" applyFont="1" applyFill="1" applyBorder="1" applyProtection="1">
      <protection locked="0"/>
    </xf>
    <xf numFmtId="3" fontId="3" fillId="0" borderId="65" xfId="0" applyNumberFormat="1" applyFont="1" applyFill="1" applyBorder="1" applyProtection="1">
      <protection locked="0"/>
    </xf>
    <xf numFmtId="4" fontId="3" fillId="0" borderId="64" xfId="0" applyNumberFormat="1" applyFont="1" applyFill="1" applyBorder="1" applyProtection="1">
      <protection locked="0"/>
    </xf>
    <xf numFmtId="3" fontId="3" fillId="0" borderId="66" xfId="0" applyNumberFormat="1" applyFont="1" applyFill="1" applyBorder="1" applyProtection="1">
      <protection locked="0"/>
    </xf>
    <xf numFmtId="3" fontId="3" fillId="0" borderId="67" xfId="0" applyNumberFormat="1" applyFont="1" applyFill="1" applyBorder="1" applyProtection="1">
      <protection locked="0"/>
    </xf>
    <xf numFmtId="3" fontId="15" fillId="0" borderId="68" xfId="0" applyNumberFormat="1" applyFont="1" applyFill="1" applyBorder="1" applyProtection="1">
      <protection locked="0"/>
    </xf>
    <xf numFmtId="3" fontId="15" fillId="0" borderId="69" xfId="0" applyNumberFormat="1" applyFont="1" applyFill="1" applyBorder="1" applyProtection="1">
      <protection locked="0"/>
    </xf>
    <xf numFmtId="3" fontId="15" fillId="0" borderId="70" xfId="0" applyNumberFormat="1" applyFont="1" applyFill="1" applyBorder="1" applyProtection="1">
      <protection locked="0"/>
    </xf>
    <xf numFmtId="3" fontId="15" fillId="0" borderId="71" xfId="0" applyNumberFormat="1" applyFont="1" applyFill="1" applyBorder="1" applyProtection="1">
      <protection locked="0"/>
    </xf>
    <xf numFmtId="0" fontId="14" fillId="0" borderId="21" xfId="0" applyFont="1" applyFill="1" applyBorder="1" applyAlignment="1" applyProtection="1">
      <alignment horizontal="justify"/>
    </xf>
    <xf numFmtId="0" fontId="13" fillId="0" borderId="72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75" xfId="0" applyFont="1" applyFill="1" applyBorder="1" applyAlignment="1" applyProtection="1">
      <alignment horizontal="right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77" xfId="0" applyFont="1" applyFill="1" applyBorder="1" applyAlignment="1" applyProtection="1">
      <alignment horizontal="center"/>
    </xf>
    <xf numFmtId="3" fontId="3" fillId="0" borderId="21" xfId="50" applyNumberFormat="1" applyFont="1" applyFill="1" applyBorder="1" applyProtection="1">
      <protection locked="0"/>
    </xf>
    <xf numFmtId="3" fontId="3" fillId="0" borderId="78" xfId="50" applyNumberFormat="1" applyFont="1" applyFill="1" applyBorder="1" applyProtection="1">
      <protection locked="0"/>
    </xf>
    <xf numFmtId="3" fontId="3" fillId="0" borderId="64" xfId="50" applyNumberFormat="1" applyFont="1" applyFill="1" applyBorder="1" applyProtection="1">
      <protection locked="0"/>
    </xf>
    <xf numFmtId="3" fontId="3" fillId="0" borderId="21" xfId="51" applyNumberFormat="1" applyFont="1" applyFill="1" applyBorder="1" applyProtection="1">
      <protection locked="0"/>
    </xf>
    <xf numFmtId="3" fontId="3" fillId="0" borderId="78" xfId="51" applyNumberFormat="1" applyFont="1" applyFill="1" applyBorder="1" applyProtection="1">
      <protection locked="0"/>
    </xf>
    <xf numFmtId="3" fontId="3" fillId="0" borderId="64" xfId="51" applyNumberFormat="1" applyFont="1" applyFill="1" applyBorder="1" applyProtection="1">
      <protection locked="0"/>
    </xf>
    <xf numFmtId="3" fontId="3" fillId="0" borderId="47" xfId="50" applyNumberFormat="1" applyFont="1" applyFill="1" applyBorder="1" applyProtection="1">
      <protection locked="0"/>
    </xf>
    <xf numFmtId="3" fontId="3" fillId="0" borderId="58" xfId="50" applyNumberFormat="1" applyFont="1" applyFill="1" applyBorder="1" applyProtection="1">
      <protection locked="0"/>
    </xf>
    <xf numFmtId="3" fontId="3" fillId="0" borderId="79" xfId="50" applyNumberFormat="1" applyFont="1" applyFill="1" applyBorder="1" applyProtection="1">
      <protection locked="0"/>
    </xf>
    <xf numFmtId="3" fontId="3" fillId="0" borderId="64" xfId="52" applyNumberFormat="1" applyFont="1" applyFill="1" applyBorder="1" applyProtection="1">
      <protection locked="0"/>
    </xf>
    <xf numFmtId="3" fontId="3" fillId="0" borderId="47" xfId="52" applyNumberFormat="1" applyFont="1" applyFill="1" applyBorder="1" applyProtection="1">
      <protection locked="0"/>
    </xf>
    <xf numFmtId="3" fontId="3" fillId="0" borderId="78" xfId="52" applyNumberFormat="1" applyFont="1" applyFill="1" applyBorder="1" applyProtection="1">
      <protection locked="0"/>
    </xf>
    <xf numFmtId="3" fontId="3" fillId="0" borderId="57" xfId="52" applyNumberFormat="1" applyFont="1" applyFill="1" applyBorder="1" applyProtection="1">
      <protection locked="0"/>
    </xf>
    <xf numFmtId="3" fontId="3" fillId="0" borderId="58" xfId="52" applyNumberFormat="1" applyFont="1" applyFill="1" applyBorder="1" applyProtection="1">
      <protection locked="0"/>
    </xf>
    <xf numFmtId="3" fontId="3" fillId="0" borderId="80" xfId="52" applyNumberFormat="1" applyFont="1" applyFill="1" applyBorder="1" applyProtection="1">
      <protection locked="0"/>
    </xf>
    <xf numFmtId="0" fontId="20" fillId="0" borderId="32" xfId="0" applyFont="1" applyFill="1" applyBorder="1" applyAlignment="1" applyProtection="1">
      <alignment horizontal="center"/>
    </xf>
    <xf numFmtId="0" fontId="20" fillId="0" borderId="33" xfId="0" applyFont="1" applyFill="1" applyBorder="1" applyAlignment="1" applyProtection="1">
      <alignment horizontal="center"/>
    </xf>
    <xf numFmtId="0" fontId="40" fillId="0" borderId="32" xfId="0" applyFont="1" applyFill="1" applyBorder="1"/>
    <xf numFmtId="0" fontId="25" fillId="0" borderId="81" xfId="0" applyFont="1" applyFill="1" applyBorder="1" applyAlignment="1" applyProtection="1">
      <alignment horizontal="center" textRotation="255" wrapText="1"/>
    </xf>
    <xf numFmtId="0" fontId="25" fillId="0" borderId="82" xfId="0" applyFont="1" applyFill="1" applyBorder="1" applyAlignment="1" applyProtection="1">
      <alignment horizontal="center" textRotation="255" wrapText="1"/>
    </xf>
    <xf numFmtId="0" fontId="25" fillId="0" borderId="82" xfId="0" quotePrefix="1" applyFont="1" applyFill="1" applyBorder="1" applyAlignment="1" applyProtection="1">
      <alignment horizontal="center" textRotation="255" wrapText="1"/>
    </xf>
    <xf numFmtId="3" fontId="3" fillId="0" borderId="58" xfId="0" applyNumberFormat="1" applyFont="1" applyBorder="1" applyAlignment="1" applyProtection="1">
      <protection locked="0"/>
    </xf>
    <xf numFmtId="3" fontId="3" fillId="0" borderId="58" xfId="0" applyNumberFormat="1" applyFont="1" applyFill="1" applyBorder="1" applyAlignment="1" applyProtection="1">
      <protection locked="0"/>
    </xf>
    <xf numFmtId="3" fontId="3" fillId="0" borderId="50" xfId="0" applyNumberFormat="1" applyFont="1" applyFill="1" applyBorder="1" applyAlignment="1" applyProtection="1">
      <protection locked="0"/>
    </xf>
    <xf numFmtId="3" fontId="3" fillId="0" borderId="47" xfId="0" applyNumberFormat="1" applyFont="1" applyFill="1" applyBorder="1" applyAlignment="1" applyProtection="1">
      <protection locked="0"/>
    </xf>
    <xf numFmtId="3" fontId="3" fillId="0" borderId="79" xfId="0" applyNumberFormat="1" applyFont="1" applyFill="1" applyBorder="1" applyAlignment="1" applyProtection="1">
      <protection locked="0"/>
    </xf>
    <xf numFmtId="3" fontId="3" fillId="0" borderId="35" xfId="0" applyNumberFormat="1" applyFont="1" applyFill="1" applyBorder="1" applyAlignment="1" applyProtection="1">
      <protection locked="0"/>
    </xf>
    <xf numFmtId="3" fontId="3" fillId="0" borderId="59" xfId="0" applyNumberFormat="1" applyFont="1" applyFill="1" applyBorder="1" applyAlignment="1" applyProtection="1">
      <protection locked="0"/>
    </xf>
    <xf numFmtId="3" fontId="3" fillId="0" borderId="83" xfId="0" applyNumberFormat="1" applyFont="1" applyFill="1" applyBorder="1" applyAlignment="1" applyProtection="1">
      <protection locked="0"/>
    </xf>
    <xf numFmtId="3" fontId="3" fillId="0" borderId="55" xfId="0" applyNumberFormat="1" applyFont="1" applyFill="1" applyBorder="1" applyAlignment="1" applyProtection="1">
      <protection locked="0"/>
    </xf>
    <xf numFmtId="3" fontId="3" fillId="0" borderId="64" xfId="53" applyNumberFormat="1" applyFont="1" applyFill="1" applyBorder="1" applyProtection="1">
      <protection locked="0"/>
    </xf>
    <xf numFmtId="3" fontId="3" fillId="0" borderId="47" xfId="53" applyNumberFormat="1" applyFont="1" applyFill="1" applyBorder="1" applyProtection="1">
      <protection locked="0"/>
    </xf>
    <xf numFmtId="3" fontId="3" fillId="0" borderId="78" xfId="53" applyNumberFormat="1" applyFont="1" applyFill="1" applyBorder="1" applyProtection="1">
      <protection locked="0"/>
    </xf>
    <xf numFmtId="3" fontId="3" fillId="0" borderId="57" xfId="53" applyNumberFormat="1" applyFont="1" applyFill="1" applyBorder="1" applyProtection="1">
      <protection locked="0"/>
    </xf>
    <xf numFmtId="3" fontId="3" fillId="0" borderId="58" xfId="53" applyNumberFormat="1" applyFont="1" applyFill="1" applyBorder="1" applyProtection="1">
      <protection locked="0"/>
    </xf>
    <xf numFmtId="0" fontId="13" fillId="0" borderId="11" xfId="54" applyFont="1" applyFill="1" applyBorder="1" applyAlignment="1">
      <alignment horizontal="center"/>
    </xf>
    <xf numFmtId="0" fontId="6" fillId="0" borderId="84" xfId="0" applyFont="1" applyFill="1" applyBorder="1" applyAlignment="1" applyProtection="1">
      <alignment horizontal="centerContinuous" vertical="center"/>
    </xf>
    <xf numFmtId="0" fontId="6" fillId="0" borderId="29" xfId="0" applyFont="1" applyFill="1" applyBorder="1" applyAlignment="1" applyProtection="1">
      <alignment horizontal="centerContinuous" vertical="center" wrapText="1"/>
    </xf>
    <xf numFmtId="0" fontId="6" fillId="0" borderId="42" xfId="0" applyFont="1" applyFill="1" applyBorder="1" applyAlignment="1">
      <alignment horizontal="centerContinuous" vertical="center" wrapText="1"/>
    </xf>
    <xf numFmtId="0" fontId="41" fillId="0" borderId="33" xfId="0" applyFont="1" applyFill="1" applyBorder="1" applyProtection="1"/>
    <xf numFmtId="0" fontId="41" fillId="0" borderId="32" xfId="0" applyFont="1" applyFill="1" applyBorder="1" applyAlignment="1" applyProtection="1">
      <alignment horizontal="center"/>
    </xf>
    <xf numFmtId="0" fontId="41" fillId="0" borderId="33" xfId="0" applyFont="1" applyFill="1" applyBorder="1" applyAlignment="1" applyProtection="1">
      <alignment horizontal="center"/>
    </xf>
    <xf numFmtId="0" fontId="41" fillId="0" borderId="34" xfId="0" applyFont="1" applyFill="1" applyBorder="1" applyAlignment="1" applyProtection="1">
      <alignment horizontal="center"/>
    </xf>
    <xf numFmtId="0" fontId="41" fillId="0" borderId="85" xfId="0" applyFont="1" applyFill="1" applyBorder="1" applyAlignment="1" applyProtection="1">
      <alignment horizontal="center"/>
    </xf>
    <xf numFmtId="0" fontId="41" fillId="0" borderId="0" xfId="0" applyFont="1"/>
    <xf numFmtId="0" fontId="3" fillId="0" borderId="15" xfId="0" applyFont="1" applyBorder="1"/>
    <xf numFmtId="0" fontId="3" fillId="0" borderId="36" xfId="0" applyFont="1" applyBorder="1"/>
    <xf numFmtId="3" fontId="3" fillId="0" borderId="79" xfId="55" applyNumberFormat="1" applyFont="1" applyFill="1" applyBorder="1" applyProtection="1">
      <protection locked="0"/>
    </xf>
    <xf numFmtId="3" fontId="3" fillId="0" borderId="77" xfId="55" applyNumberFormat="1" applyFont="1" applyFill="1" applyBorder="1" applyProtection="1">
      <protection locked="0"/>
    </xf>
    <xf numFmtId="0" fontId="18" fillId="0" borderId="86" xfId="55" applyFont="1" applyFill="1" applyBorder="1" applyAlignment="1" applyProtection="1">
      <alignment horizontal="centerContinuous" vertical="center"/>
    </xf>
    <xf numFmtId="0" fontId="10" fillId="0" borderId="10" xfId="54" applyFont="1" applyFill="1" applyBorder="1" applyAlignment="1">
      <alignment horizontal="centerContinuous"/>
    </xf>
    <xf numFmtId="0" fontId="10" fillId="0" borderId="87" xfId="53" applyFont="1" applyFill="1" applyBorder="1" applyAlignment="1" applyProtection="1">
      <alignment horizontal="center" vertical="center"/>
    </xf>
    <xf numFmtId="0" fontId="10" fillId="0" borderId="87" xfId="52" applyFont="1" applyFill="1" applyBorder="1" applyAlignment="1" applyProtection="1">
      <alignment horizontal="center" vertical="center"/>
    </xf>
    <xf numFmtId="0" fontId="10" fillId="0" borderId="87" xfId="51" applyFont="1" applyFill="1" applyBorder="1" applyAlignment="1" applyProtection="1">
      <alignment horizontal="center" vertical="center"/>
    </xf>
    <xf numFmtId="0" fontId="10" fillId="0" borderId="87" xfId="50" applyFont="1" applyFill="1" applyBorder="1" applyAlignment="1" applyProtection="1">
      <alignment horizontal="center" vertical="center"/>
    </xf>
    <xf numFmtId="0" fontId="10" fillId="0" borderId="23" xfId="50" applyFont="1" applyFill="1" applyBorder="1" applyAlignment="1" applyProtection="1">
      <alignment horizontal="center" vertical="center"/>
    </xf>
    <xf numFmtId="0" fontId="11" fillId="0" borderId="17" xfId="50" applyFont="1" applyFill="1" applyBorder="1" applyAlignment="1">
      <alignment horizontal="center"/>
    </xf>
    <xf numFmtId="0" fontId="11" fillId="0" borderId="88" xfId="0" applyFont="1" applyFill="1" applyBorder="1" applyAlignment="1" applyProtection="1">
      <alignment horizontal="center"/>
    </xf>
    <xf numFmtId="0" fontId="41" fillId="0" borderId="46" xfId="55" applyFont="1" applyFill="1" applyBorder="1" applyAlignment="1">
      <alignment horizontal="centerContinuous"/>
    </xf>
    <xf numFmtId="0" fontId="41" fillId="0" borderId="89" xfId="55" applyFont="1" applyFill="1" applyBorder="1" applyAlignment="1" applyProtection="1">
      <alignment horizontal="center"/>
    </xf>
    <xf numFmtId="0" fontId="41" fillId="0" borderId="27" xfId="55" applyFont="1" applyFill="1" applyBorder="1" applyAlignment="1" applyProtection="1">
      <alignment horizontal="center"/>
    </xf>
    <xf numFmtId="0" fontId="41" fillId="0" borderId="0" xfId="55" applyFont="1"/>
    <xf numFmtId="0" fontId="41" fillId="0" borderId="17" xfId="0" applyFont="1" applyFill="1" applyBorder="1" applyAlignment="1">
      <alignment horizontal="center"/>
    </xf>
    <xf numFmtId="0" fontId="32" fillId="0" borderId="32" xfId="0" applyFont="1" applyFill="1" applyBorder="1" applyAlignment="1" applyProtection="1">
      <alignment horizontal="center"/>
    </xf>
    <xf numFmtId="0" fontId="32" fillId="0" borderId="90" xfId="0" applyFont="1" applyFill="1" applyBorder="1" applyAlignment="1" applyProtection="1">
      <alignment horizontal="center"/>
    </xf>
    <xf numFmtId="0" fontId="10" fillId="0" borderId="22" xfId="0" applyFont="1" applyFill="1" applyBorder="1" applyAlignment="1">
      <alignment horizontal="centerContinuous"/>
    </xf>
    <xf numFmtId="0" fontId="13" fillId="0" borderId="91" xfId="0" applyFont="1" applyFill="1" applyBorder="1" applyAlignment="1">
      <alignment horizontal="center"/>
    </xf>
    <xf numFmtId="0" fontId="6" fillId="0" borderId="92" xfId="0" applyFont="1" applyFill="1" applyBorder="1" applyAlignment="1" applyProtection="1">
      <alignment horizontal="center" vertical="center"/>
    </xf>
    <xf numFmtId="0" fontId="13" fillId="0" borderId="93" xfId="0" applyFont="1" applyFill="1" applyBorder="1" applyAlignment="1" applyProtection="1">
      <alignment horizontal="centerContinuous" vertical="center" wrapText="1"/>
    </xf>
    <xf numFmtId="0" fontId="2" fillId="0" borderId="94" xfId="55" applyFont="1" applyBorder="1" applyAlignment="1" applyProtection="1">
      <alignment horizontal="left" vertical="top"/>
    </xf>
    <xf numFmtId="0" fontId="13" fillId="0" borderId="52" xfId="50" applyFont="1" applyBorder="1" applyAlignment="1">
      <alignment horizontal="right"/>
    </xf>
    <xf numFmtId="0" fontId="6" fillId="0" borderId="75" xfId="0" applyFont="1" applyFill="1" applyBorder="1" applyAlignment="1" applyProtection="1">
      <alignment horizontal="right" vertical="center"/>
    </xf>
    <xf numFmtId="0" fontId="13" fillId="0" borderId="68" xfId="0" applyFont="1" applyFill="1" applyBorder="1" applyAlignment="1">
      <alignment horizontal="centerContinuous" vertical="center"/>
    </xf>
    <xf numFmtId="0" fontId="20" fillId="0" borderId="34" xfId="0" applyFont="1" applyFill="1" applyBorder="1" applyAlignment="1" applyProtection="1">
      <alignment horizontal="center"/>
    </xf>
    <xf numFmtId="0" fontId="3" fillId="0" borderId="11" xfId="55" applyFont="1" applyBorder="1" applyAlignment="1">
      <alignment horizontal="center"/>
    </xf>
    <xf numFmtId="0" fontId="13" fillId="0" borderId="15" xfId="55" applyFont="1" applyBorder="1" applyAlignment="1">
      <alignment horizontal="centerContinuous" vertical="center"/>
    </xf>
    <xf numFmtId="0" fontId="13" fillId="0" borderId="36" xfId="55" applyFont="1" applyBorder="1" applyAlignment="1">
      <alignment horizontal="centerContinuous" vertical="center"/>
    </xf>
    <xf numFmtId="0" fontId="6" fillId="0" borderId="15" xfId="50" applyFont="1" applyFill="1" applyBorder="1" applyAlignment="1">
      <alignment horizontal="centerContinuous" vertical="center"/>
    </xf>
    <xf numFmtId="0" fontId="22" fillId="0" borderId="13" xfId="0" applyFont="1" applyFill="1" applyBorder="1" applyAlignment="1" applyProtection="1">
      <alignment horizontal="left" vertical="center" wrapText="1"/>
    </xf>
    <xf numFmtId="0" fontId="3" fillId="0" borderId="94" xfId="0" applyFont="1" applyFill="1" applyBorder="1" applyAlignment="1">
      <alignment horizontal="centerContinuous"/>
    </xf>
    <xf numFmtId="0" fontId="22" fillId="0" borderId="91" xfId="0" applyFont="1" applyFill="1" applyBorder="1" applyAlignment="1" applyProtection="1">
      <alignment horizontal="centerContinuous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0" fontId="22" fillId="0" borderId="87" xfId="0" applyFont="1" applyFill="1" applyBorder="1" applyAlignment="1" applyProtection="1">
      <alignment horizontal="centerContinuous" vertical="center" wrapText="1"/>
    </xf>
    <xf numFmtId="0" fontId="22" fillId="0" borderId="95" xfId="0" applyFont="1" applyFill="1" applyBorder="1" applyAlignment="1">
      <alignment horizontal="center" vertical="center"/>
    </xf>
    <xf numFmtId="0" fontId="13" fillId="0" borderId="90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 vertical="top"/>
    </xf>
    <xf numFmtId="0" fontId="27" fillId="0" borderId="0" xfId="0" applyFont="1" applyAlignment="1">
      <alignment horizontal="right" vertical="top"/>
    </xf>
    <xf numFmtId="0" fontId="6" fillId="0" borderId="15" xfId="0" applyFont="1" applyFill="1" applyBorder="1" applyAlignment="1" applyProtection="1">
      <alignment horizontal="centerContinuous" vertical="center"/>
    </xf>
    <xf numFmtId="0" fontId="23" fillId="0" borderId="0" xfId="0" applyFont="1" applyAlignment="1">
      <alignment horizontal="center"/>
    </xf>
    <xf numFmtId="0" fontId="7" fillId="0" borderId="0" xfId="0" applyFont="1" applyBorder="1" applyAlignment="1" applyProtection="1">
      <alignment vertical="top" wrapText="1"/>
    </xf>
    <xf numFmtId="0" fontId="28" fillId="0" borderId="0" xfId="0" applyFont="1" applyBorder="1" applyAlignment="1">
      <alignment vertical="center" wrapText="1"/>
    </xf>
    <xf numFmtId="0" fontId="33" fillId="0" borderId="0" xfId="0" applyFont="1"/>
    <xf numFmtId="0" fontId="13" fillId="0" borderId="59" xfId="0" applyFont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/>
    </xf>
    <xf numFmtId="0" fontId="23" fillId="0" borderId="0" xfId="0" applyFont="1" applyAlignment="1">
      <alignment horizontal="left"/>
    </xf>
    <xf numFmtId="38" fontId="14" fillId="0" borderId="50" xfId="32" applyNumberFormat="1" applyFont="1" applyBorder="1"/>
    <xf numFmtId="38" fontId="14" fillId="0" borderId="35" xfId="32" applyNumberFormat="1" applyFont="1" applyBorder="1"/>
    <xf numFmtId="38" fontId="14" fillId="0" borderId="62" xfId="32" applyNumberFormat="1" applyFont="1" applyBorder="1"/>
    <xf numFmtId="0" fontId="14" fillId="0" borderId="35" xfId="0" applyFont="1" applyBorder="1" applyAlignment="1">
      <alignment horizontal="center"/>
    </xf>
    <xf numFmtId="0" fontId="14" fillId="0" borderId="50" xfId="0" applyFont="1" applyFill="1" applyBorder="1" applyAlignment="1" applyProtection="1">
      <alignment horizontal="center"/>
    </xf>
    <xf numFmtId="3" fontId="3" fillId="0" borderId="64" xfId="0" applyNumberFormat="1" applyFont="1" applyFill="1" applyBorder="1" applyAlignment="1" applyProtection="1">
      <protection locked="0"/>
    </xf>
    <xf numFmtId="3" fontId="3" fillId="24" borderId="64" xfId="0" applyNumberFormat="1" applyFont="1" applyFill="1" applyBorder="1" applyAlignment="1" applyProtection="1">
      <protection locked="0"/>
    </xf>
    <xf numFmtId="3" fontId="3" fillId="24" borderId="47" xfId="0" applyNumberFormat="1" applyFont="1" applyFill="1" applyBorder="1" applyAlignment="1" applyProtection="1">
      <protection locked="0"/>
    </xf>
    <xf numFmtId="0" fontId="42" fillId="0" borderId="94" xfId="0" applyFont="1" applyBorder="1" applyAlignment="1">
      <alignment horizontal="right" vertical="center" wrapText="1"/>
    </xf>
    <xf numFmtId="3" fontId="3" fillId="0" borderId="64" xfId="54" applyNumberFormat="1" applyFont="1" applyFill="1" applyBorder="1" applyAlignment="1" applyProtection="1">
      <protection locked="0"/>
    </xf>
    <xf numFmtId="3" fontId="3" fillId="0" borderId="57" xfId="54" applyNumberFormat="1" applyFont="1" applyFill="1" applyBorder="1" applyAlignment="1" applyProtection="1">
      <protection locked="0"/>
    </xf>
    <xf numFmtId="3" fontId="3" fillId="0" borderId="47" xfId="54" applyNumberFormat="1" applyFont="1" applyFill="1" applyBorder="1" applyAlignment="1" applyProtection="1">
      <protection locked="0"/>
    </xf>
    <xf numFmtId="3" fontId="3" fillId="0" borderId="58" xfId="54" applyNumberFormat="1" applyFont="1" applyFill="1" applyBorder="1" applyAlignment="1" applyProtection="1">
      <protection locked="0"/>
    </xf>
    <xf numFmtId="3" fontId="3" fillId="0" borderId="80" xfId="54" applyNumberFormat="1" applyFont="1" applyFill="1" applyBorder="1" applyAlignment="1" applyProtection="1">
      <protection locked="0"/>
    </xf>
    <xf numFmtId="3" fontId="3" fillId="24" borderId="35" xfId="0" applyNumberFormat="1" applyFont="1" applyFill="1" applyBorder="1" applyAlignment="1"/>
    <xf numFmtId="3" fontId="3" fillId="0" borderId="35" xfId="0" applyNumberFormat="1" applyFont="1" applyFill="1" applyBorder="1" applyAlignment="1"/>
    <xf numFmtId="40" fontId="14" fillId="0" borderId="35" xfId="32" applyFont="1" applyBorder="1" applyAlignment="1"/>
    <xf numFmtId="38" fontId="14" fillId="0" borderId="35" xfId="32" applyNumberFormat="1" applyFont="1" applyBorder="1" applyAlignment="1"/>
    <xf numFmtId="4" fontId="14" fillId="0" borderId="35" xfId="0" applyNumberFormat="1" applyFont="1" applyBorder="1" applyAlignment="1"/>
    <xf numFmtId="10" fontId="14" fillId="0" borderId="35" xfId="58" applyNumberFormat="1" applyFont="1" applyBorder="1" applyAlignment="1"/>
    <xf numFmtId="0" fontId="14" fillId="0" borderId="96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Border="1" applyAlignment="1" applyProtection="1">
      <alignment horizontal="left" vertical="top" wrapText="1"/>
    </xf>
    <xf numFmtId="181" fontId="44" fillId="0" borderId="0" xfId="47" applyAlignment="1">
      <alignment vertical="center"/>
    </xf>
    <xf numFmtId="181" fontId="45" fillId="0" borderId="0" xfId="47" applyFont="1" applyAlignment="1">
      <alignment vertical="center"/>
    </xf>
    <xf numFmtId="181" fontId="44" fillId="0" borderId="0" xfId="47" applyFill="1" applyAlignment="1">
      <alignment vertical="center"/>
    </xf>
    <xf numFmtId="181" fontId="24" fillId="0" borderId="0" xfId="47" applyFont="1" applyAlignment="1" applyProtection="1">
      <alignment horizontal="left" vertical="center"/>
    </xf>
    <xf numFmtId="181" fontId="14" fillId="0" borderId="0" xfId="47" applyFont="1" applyAlignment="1" applyProtection="1">
      <alignment horizontal="left" vertical="top"/>
    </xf>
    <xf numFmtId="181" fontId="49" fillId="0" borderId="0" xfId="47" applyFont="1" applyAlignment="1">
      <alignment vertical="top"/>
    </xf>
    <xf numFmtId="181" fontId="49" fillId="0" borderId="0" xfId="47" applyFont="1" applyAlignment="1">
      <alignment vertical="center"/>
    </xf>
    <xf numFmtId="181" fontId="44" fillId="0" borderId="0" xfId="49" applyNumberFormat="1" applyFont="1" applyAlignment="1">
      <alignment vertical="center"/>
    </xf>
    <xf numFmtId="181" fontId="14" fillId="0" borderId="78" xfId="47" applyFont="1" applyBorder="1" applyAlignment="1" applyProtection="1">
      <alignment vertical="center"/>
    </xf>
    <xf numFmtId="181" fontId="51" fillId="0" borderId="0" xfId="47" applyFont="1" applyAlignment="1">
      <alignment vertical="center"/>
    </xf>
    <xf numFmtId="181" fontId="14" fillId="0" borderId="0" xfId="47" applyFont="1" applyAlignment="1" applyProtection="1">
      <alignment horizontal="left" vertical="center"/>
    </xf>
    <xf numFmtId="181" fontId="9" fillId="0" borderId="0" xfId="47" applyFont="1" applyAlignment="1" applyProtection="1">
      <alignment horizontal="left" vertical="center"/>
    </xf>
    <xf numFmtId="0" fontId="53" fillId="0" borderId="47" xfId="0" applyFont="1" applyFill="1" applyBorder="1" applyAlignment="1" applyProtection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4" fontId="54" fillId="0" borderId="35" xfId="0" applyNumberFormat="1" applyFont="1" applyBorder="1" applyAlignment="1">
      <alignment horizontal="center"/>
    </xf>
    <xf numFmtId="0" fontId="13" fillId="0" borderId="21" xfId="0" applyFont="1" applyFill="1" applyBorder="1" applyAlignment="1" applyProtection="1">
      <alignment horizontal="left"/>
    </xf>
    <xf numFmtId="3" fontId="13" fillId="0" borderId="35" xfId="0" applyNumberFormat="1" applyFont="1" applyFill="1" applyBorder="1" applyAlignment="1"/>
    <xf numFmtId="0" fontId="13" fillId="0" borderId="35" xfId="0" applyFont="1" applyFill="1" applyBorder="1" applyAlignment="1">
      <alignment horizontal="center"/>
    </xf>
    <xf numFmtId="0" fontId="27" fillId="0" borderId="0" xfId="0" applyFont="1" applyAlignment="1" applyProtection="1">
      <alignment horizontal="right" vertical="top"/>
    </xf>
    <xf numFmtId="0" fontId="3" fillId="0" borderId="0" xfId="0" applyFont="1" applyBorder="1" applyProtection="1"/>
    <xf numFmtId="0" fontId="3" fillId="0" borderId="0" xfId="0" applyFont="1" applyProtection="1"/>
    <xf numFmtId="0" fontId="0" fillId="0" borderId="0" xfId="0" applyProtection="1"/>
    <xf numFmtId="0" fontId="13" fillId="0" borderId="48" xfId="0" applyFont="1" applyFill="1" applyBorder="1" applyAlignment="1" applyProtection="1">
      <alignment horizontal="left"/>
    </xf>
    <xf numFmtId="0" fontId="3" fillId="0" borderId="38" xfId="0" applyFont="1" applyFill="1" applyBorder="1" applyAlignment="1">
      <alignment horizontal="centerContinuous"/>
    </xf>
    <xf numFmtId="0" fontId="3" fillId="0" borderId="97" xfId="0" applyFont="1" applyFill="1" applyBorder="1" applyAlignment="1">
      <alignment horizontal="center"/>
    </xf>
    <xf numFmtId="181" fontId="24" fillId="0" borderId="0" xfId="47" applyFont="1" applyAlignment="1" applyProtection="1">
      <alignment vertical="center"/>
    </xf>
    <xf numFmtId="181" fontId="46" fillId="0" borderId="0" xfId="47" applyFont="1" applyAlignment="1" applyProtection="1">
      <alignment vertical="center"/>
    </xf>
    <xf numFmtId="181" fontId="44" fillId="0" borderId="0" xfId="47" applyAlignment="1" applyProtection="1">
      <alignment vertical="center"/>
    </xf>
    <xf numFmtId="181" fontId="24" fillId="0" borderId="0" xfId="47" applyFont="1" applyFill="1" applyBorder="1" applyAlignment="1" applyProtection="1">
      <alignment vertical="center"/>
    </xf>
    <xf numFmtId="0" fontId="14" fillId="0" borderId="0" xfId="44" applyFont="1" applyAlignment="1" applyProtection="1">
      <alignment vertical="center"/>
    </xf>
    <xf numFmtId="181" fontId="14" fillId="0" borderId="0" xfId="47" applyFont="1" applyAlignment="1" applyProtection="1">
      <alignment vertical="top"/>
    </xf>
    <xf numFmtId="181" fontId="49" fillId="0" borderId="0" xfId="47" applyFont="1" applyAlignment="1" applyProtection="1">
      <alignment vertical="top"/>
    </xf>
    <xf numFmtId="181" fontId="13" fillId="0" borderId="0" xfId="47" applyFont="1" applyAlignment="1" applyProtection="1">
      <alignment vertical="center"/>
    </xf>
    <xf numFmtId="181" fontId="49" fillId="0" borderId="0" xfId="47" applyFont="1" applyAlignment="1" applyProtection="1">
      <alignment vertical="center"/>
    </xf>
    <xf numFmtId="181" fontId="14" fillId="0" borderId="0" xfId="47" applyFont="1" applyAlignment="1" applyProtection="1">
      <alignment vertical="center"/>
    </xf>
    <xf numFmtId="181" fontId="50" fillId="0" borderId="0" xfId="47" applyFont="1" applyAlignment="1" applyProtection="1">
      <alignment horizontal="left" vertical="center" wrapText="1"/>
    </xf>
    <xf numFmtId="181" fontId="24" fillId="0" borderId="0" xfId="47" applyFont="1" applyFill="1" applyAlignment="1" applyProtection="1">
      <alignment vertical="center"/>
    </xf>
    <xf numFmtId="0" fontId="48" fillId="0" borderId="0" xfId="44" applyFont="1" applyFill="1" applyBorder="1" applyAlignment="1" applyProtection="1">
      <alignment horizontal="left" vertical="center"/>
    </xf>
    <xf numFmtId="0" fontId="14" fillId="0" borderId="0" xfId="44" applyFont="1" applyFill="1" applyAlignment="1" applyProtection="1">
      <alignment vertical="center"/>
    </xf>
    <xf numFmtId="0" fontId="26" fillId="0" borderId="0" xfId="44" applyFont="1" applyFill="1" applyBorder="1" applyAlignment="1" applyProtection="1">
      <alignment horizontal="center" vertical="center"/>
    </xf>
    <xf numFmtId="181" fontId="9" fillId="0" borderId="0" xfId="49" applyNumberFormat="1" applyFont="1" applyAlignment="1" applyProtection="1">
      <alignment vertical="center"/>
    </xf>
    <xf numFmtId="181" fontId="23" fillId="0" borderId="0" xfId="49" applyNumberFormat="1" applyFont="1" applyAlignment="1" applyProtection="1">
      <alignment vertical="center"/>
    </xf>
    <xf numFmtId="181" fontId="24" fillId="0" borderId="0" xfId="49" applyNumberFormat="1" applyFont="1" applyAlignment="1" applyProtection="1">
      <alignment vertical="center"/>
    </xf>
    <xf numFmtId="0" fontId="22" fillId="0" borderId="0" xfId="0" applyFont="1" applyAlignment="1" applyProtection="1">
      <alignment horizontal="center" vertical="top"/>
    </xf>
    <xf numFmtId="181" fontId="24" fillId="0" borderId="0" xfId="49" applyNumberFormat="1" applyFont="1" applyBorder="1" applyAlignment="1" applyProtection="1">
      <alignment vertical="center"/>
    </xf>
    <xf numFmtId="181" fontId="22" fillId="0" borderId="0" xfId="47" applyFont="1" applyAlignment="1" applyProtection="1">
      <alignment vertical="center"/>
    </xf>
    <xf numFmtId="181" fontId="51" fillId="0" borderId="0" xfId="47" applyFont="1" applyAlignment="1" applyProtection="1">
      <alignment vertical="center"/>
    </xf>
    <xf numFmtId="181" fontId="24" fillId="0" borderId="0" xfId="47" applyFont="1" applyBorder="1" applyAlignment="1" applyProtection="1">
      <alignment vertical="center"/>
    </xf>
    <xf numFmtId="0" fontId="15" fillId="0" borderId="0" xfId="49" applyProtection="1"/>
    <xf numFmtId="181" fontId="22" fillId="0" borderId="35" xfId="47" applyFont="1" applyFill="1" applyBorder="1" applyAlignment="1" applyProtection="1">
      <alignment horizontal="center" vertical="center"/>
    </xf>
    <xf numFmtId="181" fontId="44" fillId="0" borderId="0" xfId="47" applyFont="1" applyAlignment="1" applyProtection="1">
      <alignment vertical="center"/>
    </xf>
    <xf numFmtId="0" fontId="30" fillId="0" borderId="0" xfId="45" applyAlignment="1" applyProtection="1">
      <alignment vertical="center"/>
    </xf>
    <xf numFmtId="181" fontId="52" fillId="0" borderId="0" xfId="47" applyFont="1" applyAlignment="1" applyProtection="1">
      <alignment vertical="center"/>
    </xf>
    <xf numFmtId="0" fontId="15" fillId="0" borderId="0" xfId="49" applyAlignment="1" applyProtection="1">
      <alignment vertic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206" fontId="45" fillId="0" borderId="0" xfId="47" applyNumberFormat="1" applyFont="1" applyAlignment="1" applyProtection="1">
      <alignment vertical="center"/>
    </xf>
    <xf numFmtId="181" fontId="57" fillId="0" borderId="0" xfId="47" applyFont="1" applyAlignment="1" applyProtection="1">
      <alignment vertical="center"/>
    </xf>
    <xf numFmtId="0" fontId="3" fillId="0" borderId="98" xfId="55" applyFont="1" applyFill="1" applyBorder="1" applyAlignment="1">
      <alignment horizontal="centerContinuous" vertical="center" wrapText="1"/>
    </xf>
    <xf numFmtId="0" fontId="17" fillId="0" borderId="99" xfId="55" applyFont="1" applyFill="1" applyBorder="1" applyAlignment="1" applyProtection="1">
      <alignment horizontal="centerContinuous" vertical="center" wrapText="1"/>
    </xf>
    <xf numFmtId="0" fontId="13" fillId="0" borderId="0" xfId="55" applyFont="1" applyBorder="1" applyAlignment="1">
      <alignment horizontal="centerContinuous" vertical="center"/>
    </xf>
    <xf numFmtId="0" fontId="17" fillId="0" borderId="100" xfId="55" applyFont="1" applyFill="1" applyBorder="1" applyAlignment="1" applyProtection="1">
      <alignment horizontal="centerContinuous" vertical="center" wrapText="1"/>
    </xf>
    <xf numFmtId="0" fontId="18" fillId="0" borderId="101" xfId="55" applyFont="1" applyFill="1" applyBorder="1" applyAlignment="1" applyProtection="1">
      <alignment horizontal="centerContinuous" vertical="center"/>
    </xf>
    <xf numFmtId="1" fontId="3" fillId="0" borderId="0" xfId="0" applyNumberFormat="1" applyFont="1"/>
    <xf numFmtId="1" fontId="13" fillId="0" borderId="35" xfId="0" applyNumberFormat="1" applyFont="1" applyFill="1" applyBorder="1" applyAlignment="1" applyProtection="1">
      <alignment horizontal="center" vertical="center" wrapText="1"/>
    </xf>
    <xf numFmtId="1" fontId="10" fillId="0" borderId="35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Alignment="1">
      <alignment horizontal="center"/>
    </xf>
    <xf numFmtId="3" fontId="13" fillId="0" borderId="35" xfId="0" applyNumberFormat="1" applyFont="1" applyFill="1" applyBorder="1" applyAlignment="1" applyProtection="1">
      <alignment horizontal="center" vertical="center" wrapText="1"/>
    </xf>
    <xf numFmtId="3" fontId="10" fillId="0" borderId="35" xfId="0" applyNumberFormat="1" applyFont="1" applyFill="1" applyBorder="1" applyAlignment="1" applyProtection="1">
      <alignment horizontal="center" vertical="center" wrapText="1"/>
    </xf>
    <xf numFmtId="0" fontId="58" fillId="0" borderId="0" xfId="0" applyFont="1"/>
    <xf numFmtId="38" fontId="58" fillId="0" borderId="0" xfId="0" applyNumberFormat="1" applyFont="1"/>
    <xf numFmtId="0" fontId="59" fillId="0" borderId="0" xfId="0" applyFont="1"/>
    <xf numFmtId="0" fontId="30" fillId="0" borderId="0" xfId="0" applyFont="1"/>
    <xf numFmtId="0" fontId="60" fillId="0" borderId="0" xfId="0" applyFont="1"/>
    <xf numFmtId="10" fontId="30" fillId="0" borderId="88" xfId="58" applyNumberFormat="1" applyFont="1" applyBorder="1" applyAlignment="1">
      <alignment horizontal="center"/>
    </xf>
    <xf numFmtId="10" fontId="30" fillId="0" borderId="70" xfId="58" applyNumberFormat="1" applyFont="1" applyBorder="1" applyAlignment="1">
      <alignment horizontal="center"/>
    </xf>
    <xf numFmtId="10" fontId="30" fillId="0" borderId="102" xfId="58" applyNumberFormat="1" applyFont="1" applyBorder="1" applyAlignment="1">
      <alignment horizontal="center"/>
    </xf>
    <xf numFmtId="10" fontId="31" fillId="0" borderId="62" xfId="58" applyNumberFormat="1" applyFont="1" applyBorder="1" applyAlignment="1">
      <alignment horizontal="center" wrapText="1"/>
    </xf>
    <xf numFmtId="10" fontId="30" fillId="0" borderId="62" xfId="58" applyNumberFormat="1" applyFont="1" applyBorder="1" applyAlignment="1">
      <alignment horizontal="center"/>
    </xf>
    <xf numFmtId="10" fontId="30" fillId="0" borderId="57" xfId="58" applyNumberFormat="1" applyFont="1" applyBorder="1" applyAlignment="1">
      <alignment horizontal="center"/>
    </xf>
    <xf numFmtId="208" fontId="3" fillId="24" borderId="64" xfId="0" applyNumberFormat="1" applyFont="1" applyFill="1" applyBorder="1" applyAlignment="1"/>
    <xf numFmtId="208" fontId="3" fillId="24" borderId="88" xfId="0" applyNumberFormat="1" applyFont="1" applyFill="1" applyBorder="1" applyAlignment="1"/>
    <xf numFmtId="208" fontId="3" fillId="0" borderId="103" xfId="0" applyNumberFormat="1" applyFont="1" applyFill="1" applyBorder="1" applyAlignment="1"/>
    <xf numFmtId="208" fontId="3" fillId="0" borderId="104" xfId="0" applyNumberFormat="1" applyFont="1" applyFill="1" applyBorder="1" applyAlignment="1"/>
    <xf numFmtId="208" fontId="3" fillId="0" borderId="105" xfId="0" applyNumberFormat="1" applyFont="1" applyFill="1" applyBorder="1" applyAlignment="1"/>
    <xf numFmtId="208" fontId="3" fillId="0" borderId="52" xfId="50" applyNumberFormat="1" applyFont="1" applyFill="1" applyBorder="1"/>
    <xf numFmtId="208" fontId="3" fillId="0" borderId="104" xfId="50" applyNumberFormat="1" applyFont="1" applyFill="1" applyBorder="1"/>
    <xf numFmtId="208" fontId="3" fillId="0" borderId="103" xfId="50" applyNumberFormat="1" applyFont="1" applyFill="1" applyBorder="1"/>
    <xf numFmtId="208" fontId="3" fillId="24" borderId="65" xfId="0" applyNumberFormat="1" applyFont="1" applyFill="1" applyBorder="1" applyAlignment="1"/>
    <xf numFmtId="208" fontId="3" fillId="24" borderId="106" xfId="0" applyNumberFormat="1" applyFont="1" applyFill="1" applyBorder="1" applyAlignment="1">
      <alignment vertical="center"/>
    </xf>
    <xf numFmtId="208" fontId="3" fillId="0" borderId="103" xfId="0" applyNumberFormat="1" applyFont="1" applyFill="1" applyBorder="1" applyAlignment="1" applyProtection="1">
      <alignment vertical="center"/>
    </xf>
    <xf numFmtId="208" fontId="3" fillId="0" borderId="107" xfId="0" applyNumberFormat="1" applyFont="1" applyFill="1" applyBorder="1" applyAlignment="1" applyProtection="1">
      <alignment vertical="center"/>
    </xf>
    <xf numFmtId="208" fontId="3" fillId="0" borderId="66" xfId="50" applyNumberFormat="1" applyFont="1" applyFill="1" applyBorder="1" applyProtection="1"/>
    <xf numFmtId="208" fontId="3" fillId="0" borderId="88" xfId="50" applyNumberFormat="1" applyFont="1" applyFill="1" applyBorder="1" applyProtection="1"/>
    <xf numFmtId="208" fontId="3" fillId="0" borderId="103" xfId="50" applyNumberFormat="1" applyFont="1" applyFill="1" applyBorder="1" applyProtection="1"/>
    <xf numFmtId="208" fontId="3" fillId="0" borderId="104" xfId="50" applyNumberFormat="1" applyFont="1" applyFill="1" applyBorder="1" applyProtection="1"/>
    <xf numFmtId="208" fontId="14" fillId="0" borderId="79" xfId="51" applyNumberFormat="1" applyFont="1" applyFill="1" applyBorder="1" applyAlignment="1" applyProtection="1"/>
    <xf numFmtId="208" fontId="14" fillId="0" borderId="70" xfId="51" applyNumberFormat="1" applyFont="1" applyFill="1" applyBorder="1" applyAlignment="1" applyProtection="1"/>
    <xf numFmtId="208" fontId="14" fillId="24" borderId="103" xfId="51" applyNumberFormat="1" applyFont="1" applyFill="1" applyBorder="1" applyAlignment="1"/>
    <xf numFmtId="208" fontId="14" fillId="24" borderId="105" xfId="51" applyNumberFormat="1" applyFont="1" applyFill="1" applyBorder="1" applyAlignment="1"/>
    <xf numFmtId="208" fontId="14" fillId="24" borderId="104" xfId="51" applyNumberFormat="1" applyFont="1" applyFill="1" applyBorder="1" applyAlignment="1"/>
    <xf numFmtId="208" fontId="3" fillId="24" borderId="103" xfId="52" applyNumberFormat="1" applyFont="1" applyFill="1" applyBorder="1"/>
    <xf numFmtId="208" fontId="3" fillId="24" borderId="104" xfId="52" applyNumberFormat="1" applyFont="1" applyFill="1" applyBorder="1"/>
    <xf numFmtId="208" fontId="3" fillId="24" borderId="105" xfId="52" applyNumberFormat="1" applyFont="1" applyFill="1" applyBorder="1"/>
    <xf numFmtId="208" fontId="3" fillId="24" borderId="58" xfId="52" applyNumberFormat="1" applyFont="1" applyFill="1" applyBorder="1"/>
    <xf numFmtId="208" fontId="3" fillId="24" borderId="68" xfId="52" applyNumberFormat="1" applyFont="1" applyFill="1" applyBorder="1"/>
    <xf numFmtId="208" fontId="3" fillId="24" borderId="66" xfId="53" applyNumberFormat="1" applyFont="1" applyFill="1" applyBorder="1"/>
    <xf numFmtId="208" fontId="3" fillId="24" borderId="68" xfId="53" applyNumberFormat="1" applyFont="1" applyFill="1" applyBorder="1"/>
    <xf numFmtId="208" fontId="3" fillId="24" borderId="103" xfId="53" applyNumberFormat="1" applyFont="1" applyFill="1" applyBorder="1"/>
    <xf numFmtId="208" fontId="3" fillId="24" borderId="105" xfId="53" applyNumberFormat="1" applyFont="1" applyFill="1" applyBorder="1"/>
    <xf numFmtId="208" fontId="3" fillId="24" borderId="104" xfId="53" applyNumberFormat="1" applyFont="1" applyFill="1" applyBorder="1"/>
    <xf numFmtId="208" fontId="3" fillId="24" borderId="79" xfId="54" applyNumberFormat="1" applyFont="1" applyFill="1" applyBorder="1" applyAlignment="1"/>
    <xf numFmtId="208" fontId="3" fillId="24" borderId="77" xfId="54" applyNumberFormat="1" applyFont="1" applyFill="1" applyBorder="1" applyAlignment="1"/>
    <xf numFmtId="208" fontId="3" fillId="24" borderId="103" xfId="54" applyNumberFormat="1" applyFont="1" applyFill="1" applyBorder="1" applyAlignment="1"/>
    <xf numFmtId="208" fontId="3" fillId="24" borderId="104" xfId="54" applyNumberFormat="1" applyFont="1" applyFill="1" applyBorder="1" applyAlignment="1"/>
    <xf numFmtId="208" fontId="3" fillId="24" borderId="66" xfId="0" applyNumberFormat="1" applyFont="1" applyFill="1" applyBorder="1"/>
    <xf numFmtId="208" fontId="3" fillId="24" borderId="88" xfId="0" applyNumberFormat="1" applyFont="1" applyFill="1" applyBorder="1"/>
    <xf numFmtId="208" fontId="3" fillId="0" borderId="103" xfId="0" applyNumberFormat="1" applyFont="1" applyFill="1" applyBorder="1" applyProtection="1"/>
    <xf numFmtId="208" fontId="3" fillId="0" borderId="105" xfId="0" applyNumberFormat="1" applyFont="1" applyFill="1" applyBorder="1" applyProtection="1"/>
    <xf numFmtId="208" fontId="3" fillId="0" borderId="104" xfId="0" applyNumberFormat="1" applyFont="1" applyFill="1" applyBorder="1" applyProtection="1"/>
    <xf numFmtId="208" fontId="3" fillId="24" borderId="103" xfId="55" applyNumberFormat="1" applyFont="1" applyFill="1" applyBorder="1"/>
    <xf numFmtId="208" fontId="3" fillId="24" borderId="104" xfId="55" applyNumberFormat="1" applyFont="1" applyFill="1" applyBorder="1"/>
    <xf numFmtId="208" fontId="3" fillId="24" borderId="105" xfId="55" applyNumberFormat="1" applyFont="1" applyFill="1" applyBorder="1"/>
    <xf numFmtId="0" fontId="3" fillId="0" borderId="108" xfId="55" applyFont="1" applyFill="1" applyBorder="1" applyAlignment="1">
      <alignment horizontal="centerContinuous" vertical="center" wrapText="1"/>
    </xf>
    <xf numFmtId="208" fontId="3" fillId="24" borderId="109" xfId="0" applyNumberFormat="1" applyFont="1" applyFill="1" applyBorder="1"/>
    <xf numFmtId="208" fontId="3" fillId="24" borderId="110" xfId="0" applyNumberFormat="1" applyFont="1" applyFill="1" applyBorder="1"/>
    <xf numFmtId="208" fontId="3" fillId="24" borderId="65" xfId="0" applyNumberFormat="1" applyFont="1" applyFill="1" applyBorder="1"/>
    <xf numFmtId="208" fontId="3" fillId="24" borderId="103" xfId="0" applyNumberFormat="1" applyFont="1" applyFill="1" applyBorder="1"/>
    <xf numFmtId="208" fontId="3" fillId="24" borderId="68" xfId="0" applyNumberFormat="1" applyFont="1" applyFill="1" applyBorder="1"/>
    <xf numFmtId="0" fontId="46" fillId="0" borderId="0" xfId="47" applyNumberFormat="1" applyFont="1" applyAlignment="1" applyProtection="1">
      <alignment vertical="center"/>
    </xf>
    <xf numFmtId="0" fontId="41" fillId="0" borderId="27" xfId="55" applyFont="1" applyFill="1" applyBorder="1" applyAlignment="1">
      <alignment horizontal="center"/>
    </xf>
    <xf numFmtId="0" fontId="44" fillId="0" borderId="0" xfId="47" applyNumberFormat="1" applyAlignment="1" applyProtection="1">
      <alignment vertical="center"/>
      <protection locked="0"/>
    </xf>
    <xf numFmtId="0" fontId="28" fillId="0" borderId="111" xfId="0" applyFont="1" applyBorder="1" applyAlignment="1">
      <alignment horizontal="left" vertical="center" wrapText="1"/>
    </xf>
    <xf numFmtId="0" fontId="19" fillId="0" borderId="39" xfId="0" applyFont="1" applyFill="1" applyBorder="1" applyAlignment="1" applyProtection="1">
      <alignment horizontal="left"/>
    </xf>
    <xf numFmtId="0" fontId="33" fillId="0" borderId="23" xfId="0" applyFont="1" applyFill="1" applyBorder="1" applyAlignment="1">
      <alignment horizontal="center"/>
    </xf>
    <xf numFmtId="0" fontId="33" fillId="0" borderId="62" xfId="0" applyFont="1" applyFill="1" applyBorder="1" applyAlignment="1">
      <alignment horizontal="center"/>
    </xf>
    <xf numFmtId="0" fontId="33" fillId="0" borderId="57" xfId="0" applyFont="1" applyFill="1" applyBorder="1" applyAlignment="1" applyProtection="1">
      <alignment horizontal="center"/>
    </xf>
    <xf numFmtId="0" fontId="55" fillId="0" borderId="28" xfId="0" applyFont="1" applyFill="1" applyBorder="1" applyAlignment="1" applyProtection="1">
      <alignment horizontal="center" vertical="center" wrapText="1"/>
    </xf>
    <xf numFmtId="0" fontId="55" fillId="0" borderId="112" xfId="0" applyNumberFormat="1" applyFont="1" applyFill="1" applyBorder="1" applyAlignment="1" applyProtection="1">
      <alignment horizontal="center" vertical="center" wrapText="1"/>
    </xf>
    <xf numFmtId="0" fontId="55" fillId="0" borderId="112" xfId="0" applyFont="1" applyFill="1" applyBorder="1" applyAlignment="1" applyProtection="1">
      <alignment horizontal="center" vertical="center" wrapText="1"/>
    </xf>
    <xf numFmtId="0" fontId="62" fillId="0" borderId="32" xfId="0" applyFont="1" applyFill="1" applyBorder="1" applyAlignment="1">
      <alignment horizontal="center" vertical="center" wrapText="1"/>
    </xf>
    <xf numFmtId="0" fontId="62" fillId="0" borderId="113" xfId="0" applyFont="1" applyFill="1" applyBorder="1" applyAlignment="1">
      <alignment horizontal="center" vertical="center" wrapText="1"/>
    </xf>
    <xf numFmtId="0" fontId="63" fillId="0" borderId="0" xfId="0" applyFont="1" applyAlignment="1"/>
    <xf numFmtId="0" fontId="16" fillId="0" borderId="19" xfId="55" applyFont="1" applyFill="1" applyBorder="1" applyAlignment="1" applyProtection="1">
      <alignment horizontal="centerContinuous" vertical="center" wrapText="1"/>
    </xf>
    <xf numFmtId="0" fontId="3" fillId="0" borderId="20" xfId="55" applyFont="1" applyFill="1" applyBorder="1" applyAlignment="1">
      <alignment horizontal="centerContinuous" vertical="center" wrapText="1"/>
    </xf>
    <xf numFmtId="2" fontId="14" fillId="0" borderId="114" xfId="0" applyNumberFormat="1" applyFont="1" applyBorder="1" applyAlignment="1">
      <alignment horizontal="center" vertical="center" wrapText="1"/>
    </xf>
    <xf numFmtId="181" fontId="9" fillId="0" borderId="0" xfId="47" applyFont="1" applyAlignment="1" applyProtection="1">
      <alignment horizontal="left" vertical="center" wrapText="1"/>
    </xf>
    <xf numFmtId="206" fontId="44" fillId="0" borderId="0" xfId="47" applyNumberFormat="1" applyFont="1" applyFill="1" applyAlignment="1" applyProtection="1">
      <alignment vertical="center"/>
    </xf>
    <xf numFmtId="206" fontId="45" fillId="0" borderId="0" xfId="47" applyNumberFormat="1" applyFont="1" applyFill="1" applyAlignment="1" applyProtection="1">
      <alignment vertical="center"/>
    </xf>
    <xf numFmtId="181" fontId="65" fillId="0" borderId="0" xfId="47" applyFont="1" applyAlignment="1">
      <alignment horizontal="center" vertical="center" wrapText="1"/>
    </xf>
    <xf numFmtId="0" fontId="65" fillId="0" borderId="0" xfId="47" applyNumberFormat="1" applyFont="1" applyAlignment="1">
      <alignment horizontal="center" vertical="center" wrapText="1"/>
    </xf>
    <xf numFmtId="49" fontId="67" fillId="0" borderId="59" xfId="22" applyNumberFormat="1" applyFont="1" applyBorder="1" applyAlignment="1" applyProtection="1">
      <alignment horizontal="left" vertical="center"/>
      <protection locked="0"/>
    </xf>
    <xf numFmtId="0" fontId="44" fillId="0" borderId="0" xfId="47" applyNumberFormat="1" applyAlignment="1">
      <alignment vertical="center"/>
    </xf>
    <xf numFmtId="181" fontId="9" fillId="0" borderId="0" xfId="47" applyFont="1" applyBorder="1" applyAlignment="1" applyProtection="1">
      <alignment horizontal="left" vertical="center" wrapText="1"/>
    </xf>
    <xf numFmtId="181" fontId="44" fillId="0" borderId="0" xfId="47" applyFont="1" applyAlignment="1">
      <alignment vertical="center"/>
    </xf>
    <xf numFmtId="181" fontId="68" fillId="0" borderId="0" xfId="47" applyFont="1" applyAlignment="1" applyProtection="1">
      <alignment vertical="center"/>
    </xf>
    <xf numFmtId="181" fontId="68" fillId="0" borderId="0" xfId="47" applyFont="1" applyAlignment="1">
      <alignment vertical="center"/>
    </xf>
    <xf numFmtId="3" fontId="3" fillId="24" borderId="115" xfId="0" applyNumberFormat="1" applyFont="1" applyFill="1" applyBorder="1" applyAlignment="1">
      <alignment horizontal="center"/>
    </xf>
    <xf numFmtId="0" fontId="13" fillId="0" borderId="116" xfId="0" applyFont="1" applyFill="1" applyBorder="1" applyAlignment="1" applyProtection="1">
      <alignment horizontal="center"/>
    </xf>
    <xf numFmtId="3" fontId="13" fillId="0" borderId="117" xfId="0" applyNumberFormat="1" applyFont="1" applyBorder="1" applyAlignment="1">
      <alignment horizontal="center"/>
    </xf>
    <xf numFmtId="2" fontId="14" fillId="0" borderId="28" xfId="32" applyNumberFormat="1" applyFont="1" applyFill="1" applyBorder="1" applyAlignment="1" applyProtection="1">
      <protection locked="0"/>
    </xf>
    <xf numFmtId="2" fontId="14" fillId="0" borderId="47" xfId="32" applyNumberFormat="1" applyFont="1" applyFill="1" applyBorder="1" applyAlignment="1" applyProtection="1">
      <protection locked="0"/>
    </xf>
    <xf numFmtId="2" fontId="14" fillId="0" borderId="88" xfId="32" applyNumberFormat="1" applyFont="1" applyFill="1" applyBorder="1" applyAlignment="1" applyProtection="1">
      <protection locked="0"/>
    </xf>
    <xf numFmtId="2" fontId="14" fillId="0" borderId="79" xfId="32" applyNumberFormat="1" applyFont="1" applyFill="1" applyBorder="1" applyAlignment="1" applyProtection="1">
      <protection locked="0"/>
    </xf>
    <xf numFmtId="2" fontId="14" fillId="0" borderId="77" xfId="32" applyNumberFormat="1" applyFont="1" applyFill="1" applyBorder="1" applyAlignment="1" applyProtection="1">
      <protection locked="0"/>
    </xf>
    <xf numFmtId="2" fontId="14" fillId="0" borderId="70" xfId="32" applyNumberFormat="1" applyFont="1" applyFill="1" applyBorder="1" applyAlignment="1" applyProtection="1">
      <protection locked="0"/>
    </xf>
    <xf numFmtId="2" fontId="14" fillId="0" borderId="64" xfId="32" applyNumberFormat="1" applyFont="1" applyFill="1" applyBorder="1" applyAlignment="1" applyProtection="1">
      <protection locked="0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horizontal="center"/>
    </xf>
    <xf numFmtId="2" fontId="14" fillId="0" borderId="100" xfId="32" applyNumberFormat="1" applyFont="1" applyFill="1" applyBorder="1" applyAlignment="1" applyProtection="1">
      <protection locked="0"/>
    </xf>
    <xf numFmtId="216" fontId="3" fillId="24" borderId="109" xfId="0" applyNumberFormat="1" applyFont="1" applyFill="1" applyBorder="1"/>
    <xf numFmtId="0" fontId="10" fillId="0" borderId="118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0" fontId="10" fillId="0" borderId="119" xfId="0" applyFont="1" applyBorder="1" applyAlignment="1">
      <alignment horizontal="center" vertical="center" wrapText="1"/>
    </xf>
    <xf numFmtId="181" fontId="24" fillId="0" borderId="0" xfId="47" applyFont="1" applyAlignment="1" applyProtection="1">
      <alignment vertical="top"/>
    </xf>
    <xf numFmtId="181" fontId="24" fillId="0" borderId="0" xfId="47" applyFont="1" applyAlignment="1">
      <alignment vertical="top"/>
    </xf>
    <xf numFmtId="181" fontId="9" fillId="25" borderId="35" xfId="47" applyFont="1" applyFill="1" applyBorder="1" applyAlignment="1" applyProtection="1">
      <alignment vertical="center"/>
    </xf>
    <xf numFmtId="208" fontId="3" fillId="0" borderId="120" xfId="50" applyNumberFormat="1" applyFont="1" applyFill="1" applyBorder="1"/>
    <xf numFmtId="3" fontId="3" fillId="0" borderId="57" xfId="50" applyNumberFormat="1" applyFont="1" applyFill="1" applyBorder="1" applyProtection="1">
      <protection locked="0"/>
    </xf>
    <xf numFmtId="208" fontId="3" fillId="0" borderId="30" xfId="50" applyNumberFormat="1" applyFont="1" applyFill="1" applyBorder="1"/>
    <xf numFmtId="208" fontId="3" fillId="0" borderId="120" xfId="50" applyNumberFormat="1" applyFont="1" applyFill="1" applyBorder="1" applyProtection="1"/>
    <xf numFmtId="3" fontId="3" fillId="0" borderId="66" xfId="50" applyNumberFormat="1" applyFont="1" applyFill="1" applyBorder="1" applyProtection="1">
      <protection locked="0"/>
    </xf>
    <xf numFmtId="3" fontId="3" fillId="0" borderId="78" xfId="54" applyNumberFormat="1" applyFont="1" applyFill="1" applyBorder="1" applyAlignment="1" applyProtection="1">
      <protection locked="0"/>
    </xf>
    <xf numFmtId="208" fontId="3" fillId="24" borderId="120" xfId="54" applyNumberFormat="1" applyFont="1" applyFill="1" applyBorder="1" applyAlignment="1"/>
    <xf numFmtId="208" fontId="3" fillId="24" borderId="121" xfId="54" applyNumberFormat="1" applyFont="1" applyFill="1" applyBorder="1" applyAlignment="1"/>
    <xf numFmtId="0" fontId="16" fillId="0" borderId="25" xfId="54" applyFont="1" applyFill="1" applyBorder="1" applyAlignment="1" applyProtection="1">
      <alignment horizontal="centerContinuous" vertical="center" wrapText="1"/>
    </xf>
    <xf numFmtId="0" fontId="3" fillId="0" borderId="26" xfId="54" applyFont="1" applyFill="1" applyBorder="1" applyAlignment="1" applyProtection="1">
      <alignment horizontal="centerContinuous" vertical="center" wrapText="1"/>
    </xf>
    <xf numFmtId="0" fontId="18" fillId="0" borderId="122" xfId="54" applyFont="1" applyFill="1" applyBorder="1" applyAlignment="1" applyProtection="1">
      <alignment horizontal="centerContinuous" vertical="center" wrapText="1"/>
    </xf>
    <xf numFmtId="0" fontId="18" fillId="0" borderId="123" xfId="54" applyFont="1" applyFill="1" applyBorder="1" applyAlignment="1" applyProtection="1">
      <alignment horizontal="centerContinuous" vertical="center" wrapText="1"/>
    </xf>
    <xf numFmtId="208" fontId="0" fillId="0" borderId="124" xfId="0" applyNumberFormat="1" applyBorder="1"/>
    <xf numFmtId="208" fontId="3" fillId="0" borderId="105" xfId="50" applyNumberFormat="1" applyFont="1" applyFill="1" applyBorder="1" applyProtection="1"/>
    <xf numFmtId="208" fontId="14" fillId="24" borderId="109" xfId="51" applyNumberFormat="1" applyFont="1" applyFill="1" applyBorder="1" applyAlignment="1"/>
    <xf numFmtId="208" fontId="3" fillId="24" borderId="79" xfId="55" applyNumberFormat="1" applyFont="1" applyFill="1" applyBorder="1"/>
    <xf numFmtId="0" fontId="41" fillId="0" borderId="91" xfId="55" applyFont="1" applyFill="1" applyBorder="1" applyAlignment="1" applyProtection="1">
      <alignment horizontal="center"/>
    </xf>
    <xf numFmtId="208" fontId="3" fillId="24" borderId="77" xfId="55" applyNumberFormat="1" applyFont="1" applyFill="1" applyBorder="1"/>
    <xf numFmtId="181" fontId="9" fillId="0" borderId="0" xfId="47" applyFont="1" applyFill="1" applyBorder="1" applyAlignment="1" applyProtection="1">
      <alignment vertical="center"/>
      <protection locked="0"/>
    </xf>
    <xf numFmtId="181" fontId="69" fillId="24" borderId="0" xfId="47" applyFont="1" applyFill="1" applyAlignment="1" applyProtection="1">
      <alignment vertical="center"/>
    </xf>
    <xf numFmtId="181" fontId="24" fillId="24" borderId="0" xfId="47" applyFont="1" applyFill="1" applyAlignment="1" applyProtection="1">
      <alignment vertical="center"/>
    </xf>
    <xf numFmtId="0" fontId="0" fillId="24" borderId="0" xfId="0" applyFill="1" applyProtection="1"/>
    <xf numFmtId="181" fontId="70" fillId="24" borderId="0" xfId="47" applyFont="1" applyFill="1" applyAlignment="1" applyProtection="1">
      <alignment vertical="center"/>
    </xf>
    <xf numFmtId="181" fontId="9" fillId="24" borderId="0" xfId="47" applyFont="1" applyFill="1" applyAlignment="1" applyProtection="1">
      <alignment vertical="center"/>
    </xf>
    <xf numFmtId="181" fontId="9" fillId="24" borderId="0" xfId="47" applyFont="1" applyFill="1" applyAlignment="1" applyProtection="1">
      <alignment horizontal="left" vertical="center"/>
    </xf>
    <xf numFmtId="181" fontId="23" fillId="24" borderId="0" xfId="47" applyFont="1" applyFill="1" applyAlignment="1" applyProtection="1">
      <alignment horizontal="left" vertical="center"/>
    </xf>
    <xf numFmtId="181" fontId="24" fillId="24" borderId="0" xfId="47" applyFont="1" applyFill="1" applyAlignment="1" applyProtection="1">
      <alignment horizontal="left" vertical="center"/>
    </xf>
    <xf numFmtId="181" fontId="23" fillId="24" borderId="0" xfId="47" applyFont="1" applyFill="1" applyAlignment="1" applyProtection="1">
      <alignment vertical="center"/>
    </xf>
    <xf numFmtId="181" fontId="71" fillId="24" borderId="0" xfId="47" applyFont="1" applyFill="1" applyAlignment="1" applyProtection="1">
      <alignment vertical="center"/>
    </xf>
    <xf numFmtId="181" fontId="9" fillId="24" borderId="0" xfId="47" applyFont="1" applyFill="1" applyBorder="1" applyAlignment="1" applyProtection="1">
      <alignment horizontal="left" vertical="center"/>
    </xf>
    <xf numFmtId="181" fontId="9" fillId="24" borderId="0" xfId="47" applyFont="1" applyFill="1" applyBorder="1" applyAlignment="1" applyProtection="1">
      <alignment vertical="center"/>
    </xf>
    <xf numFmtId="0" fontId="71" fillId="24" borderId="0" xfId="49" applyFont="1" applyFill="1" applyAlignment="1" applyProtection="1">
      <alignment vertical="center"/>
    </xf>
    <xf numFmtId="0" fontId="9" fillId="24" borderId="0" xfId="49" applyFont="1" applyFill="1" applyAlignment="1" applyProtection="1">
      <alignment vertical="center"/>
    </xf>
    <xf numFmtId="181" fontId="24" fillId="24" borderId="0" xfId="47" applyFont="1" applyFill="1" applyBorder="1" applyAlignment="1" applyProtection="1">
      <alignment vertical="center"/>
    </xf>
    <xf numFmtId="0" fontId="0" fillId="24" borderId="0" xfId="0" applyFill="1" applyBorder="1" applyProtection="1"/>
    <xf numFmtId="181" fontId="23" fillId="24" borderId="0" xfId="47" applyFont="1" applyFill="1" applyBorder="1" applyAlignment="1" applyProtection="1">
      <alignment horizontal="left" vertical="center"/>
    </xf>
    <xf numFmtId="181" fontId="23" fillId="24" borderId="0" xfId="47" applyFont="1" applyFill="1" applyBorder="1" applyAlignment="1" applyProtection="1">
      <alignment vertical="center"/>
    </xf>
    <xf numFmtId="181" fontId="24" fillId="24" borderId="111" xfId="47" applyFont="1" applyFill="1" applyBorder="1" applyAlignment="1" applyProtection="1">
      <alignment vertical="center"/>
    </xf>
    <xf numFmtId="181" fontId="61" fillId="24" borderId="111" xfId="47" applyFont="1" applyFill="1" applyBorder="1" applyAlignment="1" applyProtection="1">
      <alignment vertical="center"/>
    </xf>
    <xf numFmtId="181" fontId="71" fillId="24" borderId="78" xfId="47" applyFont="1" applyFill="1" applyBorder="1" applyAlignment="1" applyProtection="1">
      <alignment vertical="center"/>
    </xf>
    <xf numFmtId="181" fontId="9" fillId="24" borderId="78" xfId="47" applyFont="1" applyFill="1" applyBorder="1" applyAlignment="1" applyProtection="1">
      <alignment vertical="center"/>
    </xf>
    <xf numFmtId="181" fontId="69" fillId="24" borderId="111" xfId="47" applyFont="1" applyFill="1" applyBorder="1" applyAlignment="1" applyProtection="1">
      <alignment vertical="center"/>
    </xf>
    <xf numFmtId="181" fontId="9" fillId="0" borderId="0" xfId="47" applyFont="1" applyFill="1" applyBorder="1" applyAlignment="1" applyProtection="1">
      <alignment vertical="center"/>
    </xf>
    <xf numFmtId="181" fontId="44" fillId="0" borderId="0" xfId="47" applyBorder="1" applyAlignment="1">
      <alignment vertical="center"/>
    </xf>
    <xf numFmtId="181" fontId="44" fillId="0" borderId="0" xfId="47" applyAlignment="1" applyProtection="1">
      <alignment vertical="center"/>
      <protection locked="0"/>
    </xf>
    <xf numFmtId="206" fontId="44" fillId="24" borderId="125" xfId="47" applyNumberFormat="1" applyFont="1" applyFill="1" applyBorder="1" applyAlignment="1" applyProtection="1">
      <alignment vertical="center"/>
    </xf>
    <xf numFmtId="206" fontId="44" fillId="24" borderId="126" xfId="47" applyNumberFormat="1" applyFont="1" applyFill="1" applyBorder="1" applyAlignment="1" applyProtection="1">
      <alignment vertical="center"/>
    </xf>
    <xf numFmtId="181" fontId="44" fillId="24" borderId="125" xfId="47" applyFill="1" applyBorder="1" applyAlignment="1" applyProtection="1">
      <alignment vertical="center"/>
    </xf>
    <xf numFmtId="181" fontId="23" fillId="26" borderId="35" xfId="47" applyFont="1" applyFill="1" applyBorder="1" applyAlignment="1" applyProtection="1">
      <alignment horizontal="center" vertical="center"/>
    </xf>
    <xf numFmtId="0" fontId="23" fillId="24" borderId="0" xfId="0" applyFont="1" applyFill="1" applyProtection="1"/>
    <xf numFmtId="181" fontId="9" fillId="24" borderId="125" xfId="47" applyFont="1" applyFill="1" applyBorder="1" applyAlignment="1" applyProtection="1">
      <alignment vertical="center"/>
    </xf>
    <xf numFmtId="0" fontId="9" fillId="24" borderId="125" xfId="49" applyFont="1" applyFill="1" applyBorder="1" applyAlignment="1" applyProtection="1">
      <alignment vertical="center"/>
    </xf>
    <xf numFmtId="181" fontId="9" fillId="24" borderId="58" xfId="47" applyFont="1" applyFill="1" applyBorder="1" applyAlignment="1" applyProtection="1">
      <alignment vertical="center"/>
    </xf>
    <xf numFmtId="1" fontId="9" fillId="25" borderId="35" xfId="47" applyNumberFormat="1" applyFont="1" applyFill="1" applyBorder="1" applyAlignment="1" applyProtection="1">
      <alignment vertical="center"/>
      <protection locked="0"/>
    </xf>
    <xf numFmtId="1" fontId="9" fillId="25" borderId="35" xfId="49" applyNumberFormat="1" applyFont="1" applyFill="1" applyBorder="1" applyAlignment="1" applyProtection="1">
      <alignment vertical="center"/>
      <protection locked="0"/>
    </xf>
    <xf numFmtId="181" fontId="23" fillId="24" borderId="0" xfId="47" applyFont="1" applyFill="1" applyBorder="1" applyAlignment="1" applyProtection="1">
      <alignment horizontal="center" vertical="center"/>
    </xf>
    <xf numFmtId="0" fontId="0" fillId="24" borderId="0" xfId="0" applyFill="1" applyBorder="1" applyAlignment="1" applyProtection="1">
      <alignment vertical="center"/>
    </xf>
    <xf numFmtId="0" fontId="23" fillId="0" borderId="0" xfId="0" applyFont="1" applyBorder="1" applyProtection="1"/>
    <xf numFmtId="49" fontId="24" fillId="24" borderId="23" xfId="44" applyNumberFormat="1" applyFont="1" applyFill="1" applyBorder="1" applyAlignment="1" applyProtection="1">
      <alignment horizontal="left" vertical="center"/>
      <protection locked="0"/>
    </xf>
    <xf numFmtId="49" fontId="24" fillId="24" borderId="0" xfId="44" applyNumberFormat="1" applyFont="1" applyFill="1" applyBorder="1" applyAlignment="1" applyProtection="1">
      <alignment horizontal="left" vertical="center"/>
      <protection locked="0"/>
    </xf>
    <xf numFmtId="0" fontId="65" fillId="0" borderId="0" xfId="47" applyNumberFormat="1" applyFont="1" applyBorder="1" applyAlignment="1">
      <alignment horizontal="center" vertical="center" wrapText="1"/>
    </xf>
    <xf numFmtId="1" fontId="44" fillId="0" borderId="0" xfId="47" applyNumberFormat="1" applyAlignment="1" applyProtection="1">
      <alignment vertical="center"/>
    </xf>
    <xf numFmtId="0" fontId="15" fillId="0" borderId="0" xfId="49" applyNumberFormat="1" applyAlignment="1" applyProtection="1">
      <alignment vertical="center"/>
      <protection locked="0"/>
    </xf>
    <xf numFmtId="0" fontId="23" fillId="24" borderId="0" xfId="0" applyFont="1" applyFill="1" applyBorder="1" applyProtection="1"/>
    <xf numFmtId="0" fontId="9" fillId="24" borderId="0" xfId="0" applyFont="1" applyFill="1" applyBorder="1" applyProtection="1"/>
    <xf numFmtId="1" fontId="9" fillId="25" borderId="35" xfId="0" applyNumberFormat="1" applyFont="1" applyFill="1" applyBorder="1" applyAlignment="1" applyProtection="1">
      <alignment vertical="center"/>
      <protection locked="0"/>
    </xf>
    <xf numFmtId="0" fontId="0" fillId="24" borderId="0" xfId="0" applyFill="1" applyAlignment="1" applyProtection="1">
      <alignment vertical="center"/>
    </xf>
    <xf numFmtId="2" fontId="9" fillId="25" borderId="35" xfId="47" applyNumberFormat="1" applyFont="1" applyFill="1" applyBorder="1" applyAlignment="1" applyProtection="1">
      <alignment vertical="center"/>
      <protection locked="0"/>
    </xf>
    <xf numFmtId="0" fontId="0" fillId="24" borderId="0" xfId="0" applyFill="1"/>
    <xf numFmtId="0" fontId="0" fillId="24" borderId="0" xfId="0" applyFill="1" applyBorder="1" applyAlignment="1"/>
    <xf numFmtId="0" fontId="77" fillId="24" borderId="0" xfId="0" applyFont="1" applyFill="1" applyBorder="1" applyAlignment="1">
      <alignment horizontal="center"/>
    </xf>
    <xf numFmtId="0" fontId="78" fillId="24" borderId="0" xfId="0" applyFont="1" applyFill="1" applyBorder="1" applyAlignment="1">
      <alignment horizontal="center"/>
    </xf>
    <xf numFmtId="206" fontId="0" fillId="24" borderId="0" xfId="0" applyNumberFormat="1" applyFill="1"/>
    <xf numFmtId="0" fontId="79" fillId="24" borderId="0" xfId="0" applyFont="1" applyFill="1"/>
    <xf numFmtId="206" fontId="0" fillId="24" borderId="0" xfId="0" applyNumberFormat="1" applyFill="1" applyBorder="1"/>
    <xf numFmtId="0" fontId="80" fillId="24" borderId="0" xfId="0" applyFont="1" applyFill="1" applyBorder="1" applyAlignment="1">
      <alignment horizontal="right"/>
    </xf>
    <xf numFmtId="0" fontId="0" fillId="24" borderId="0" xfId="0" applyFill="1" applyBorder="1"/>
    <xf numFmtId="0" fontId="73" fillId="24" borderId="0" xfId="0" applyFont="1" applyFill="1"/>
    <xf numFmtId="0" fontId="28" fillId="24" borderId="35" xfId="0" applyFont="1" applyFill="1" applyBorder="1" applyAlignment="1">
      <alignment horizontal="center" wrapText="1"/>
    </xf>
    <xf numFmtId="0" fontId="28" fillId="24" borderId="35" xfId="0" applyFont="1" applyFill="1" applyBorder="1" applyAlignment="1">
      <alignment horizontal="center"/>
    </xf>
    <xf numFmtId="0" fontId="28" fillId="24" borderId="79" xfId="0" applyFont="1" applyFill="1" applyBorder="1" applyAlignment="1">
      <alignment horizontal="center" wrapText="1"/>
    </xf>
    <xf numFmtId="0" fontId="28" fillId="24" borderId="77" xfId="0" applyFont="1" applyFill="1" applyBorder="1" applyAlignment="1">
      <alignment horizontal="center"/>
    </xf>
    <xf numFmtId="0" fontId="19" fillId="24" borderId="62" xfId="0" applyFont="1" applyFill="1" applyBorder="1" applyAlignment="1">
      <alignment horizontal="left"/>
    </xf>
    <xf numFmtId="0" fontId="28" fillId="24" borderId="57" xfId="0" applyFont="1" applyFill="1" applyBorder="1" applyAlignment="1">
      <alignment horizontal="right"/>
    </xf>
    <xf numFmtId="0" fontId="19" fillId="24" borderId="63" xfId="0" applyFont="1" applyFill="1" applyBorder="1" applyAlignment="1">
      <alignment horizontal="left"/>
    </xf>
    <xf numFmtId="181" fontId="22" fillId="0" borderId="0" xfId="47" applyFont="1" applyFill="1" applyBorder="1" applyAlignment="1" applyProtection="1">
      <alignment horizontal="center" vertical="center"/>
    </xf>
    <xf numFmtId="0" fontId="0" fillId="25" borderId="35" xfId="0" applyFill="1" applyBorder="1" applyAlignment="1" applyProtection="1">
      <alignment vertical="center"/>
    </xf>
    <xf numFmtId="3" fontId="0" fillId="0" borderId="127" xfId="0" applyNumberFormat="1" applyBorder="1" applyProtection="1">
      <protection locked="0"/>
    </xf>
    <xf numFmtId="3" fontId="0" fillId="0" borderId="69" xfId="0" applyNumberFormat="1" applyBorder="1" applyProtection="1">
      <protection locked="0"/>
    </xf>
    <xf numFmtId="3" fontId="0" fillId="0" borderId="128" xfId="0" applyNumberFormat="1" applyBorder="1" applyProtection="1">
      <protection locked="0"/>
    </xf>
    <xf numFmtId="181" fontId="81" fillId="24" borderId="0" xfId="47" applyFont="1" applyFill="1" applyBorder="1" applyAlignment="1" applyProtection="1">
      <alignment vertical="center"/>
    </xf>
    <xf numFmtId="206" fontId="24" fillId="0" borderId="0" xfId="47" applyNumberFormat="1" applyFont="1" applyAlignment="1" applyProtection="1">
      <alignment vertical="center"/>
    </xf>
    <xf numFmtId="1" fontId="0" fillId="24" borderId="0" xfId="0" applyNumberFormat="1" applyFill="1" applyBorder="1" applyAlignment="1" applyProtection="1"/>
    <xf numFmtId="181" fontId="44" fillId="24" borderId="0" xfId="47" applyFill="1" applyAlignment="1" applyProtection="1">
      <alignment vertical="center"/>
    </xf>
    <xf numFmtId="0" fontId="15" fillId="24" borderId="0" xfId="49" applyFill="1" applyAlignment="1" applyProtection="1">
      <alignment vertical="center"/>
    </xf>
    <xf numFmtId="181" fontId="72" fillId="24" borderId="0" xfId="47" applyFont="1" applyFill="1" applyAlignment="1" applyProtection="1">
      <alignment vertical="center"/>
    </xf>
    <xf numFmtId="181" fontId="44" fillId="24" borderId="0" xfId="47" applyFill="1" applyAlignment="1" applyProtection="1">
      <alignment vertical="center"/>
      <protection locked="0"/>
    </xf>
    <xf numFmtId="1" fontId="44" fillId="0" borderId="0" xfId="47" applyNumberFormat="1" applyAlignment="1" applyProtection="1">
      <alignment vertical="center"/>
      <protection locked="0"/>
    </xf>
    <xf numFmtId="0" fontId="30" fillId="0" borderId="0" xfId="36" applyProtection="1"/>
    <xf numFmtId="0" fontId="30" fillId="0" borderId="0" xfId="36" applyBorder="1" applyProtection="1"/>
    <xf numFmtId="1" fontId="24" fillId="25" borderId="35" xfId="47" applyNumberFormat="1" applyFont="1" applyFill="1" applyBorder="1" applyAlignment="1" applyProtection="1">
      <alignment vertical="center"/>
      <protection locked="0"/>
    </xf>
    <xf numFmtId="181" fontId="44" fillId="0" borderId="0" xfId="47" applyBorder="1" applyAlignment="1" applyProtection="1">
      <alignment vertical="center"/>
    </xf>
    <xf numFmtId="3" fontId="19" fillId="24" borderId="35" xfId="0" applyNumberFormat="1" applyFont="1" applyFill="1" applyBorder="1" applyAlignment="1" applyProtection="1">
      <alignment wrapText="1"/>
      <protection locked="0"/>
    </xf>
    <xf numFmtId="3" fontId="19" fillId="24" borderId="35" xfId="0" applyNumberFormat="1" applyFont="1" applyFill="1" applyBorder="1" applyProtection="1">
      <protection locked="0"/>
    </xf>
    <xf numFmtId="3" fontId="19" fillId="24" borderId="79" xfId="0" applyNumberFormat="1" applyFont="1" applyFill="1" applyBorder="1" applyProtection="1">
      <protection locked="0"/>
    </xf>
    <xf numFmtId="3" fontId="19" fillId="24" borderId="77" xfId="0" applyNumberFormat="1" applyFont="1" applyFill="1" applyBorder="1" applyProtection="1">
      <protection locked="0"/>
    </xf>
    <xf numFmtId="3" fontId="19" fillId="24" borderId="79" xfId="0" applyNumberFormat="1" applyFont="1" applyFill="1" applyBorder="1" applyAlignment="1" applyProtection="1">
      <alignment horizontal="right"/>
      <protection locked="0"/>
    </xf>
    <xf numFmtId="3" fontId="19" fillId="24" borderId="129" xfId="0" applyNumberFormat="1" applyFont="1" applyFill="1" applyBorder="1" applyAlignment="1" applyProtection="1">
      <alignment horizontal="right"/>
      <protection locked="0"/>
    </xf>
    <xf numFmtId="3" fontId="19" fillId="24" borderId="51" xfId="0" applyNumberFormat="1" applyFont="1" applyFill="1" applyBorder="1" applyProtection="1">
      <protection locked="0"/>
    </xf>
    <xf numFmtId="3" fontId="19" fillId="24" borderId="129" xfId="0" applyNumberFormat="1" applyFont="1" applyFill="1" applyBorder="1" applyProtection="1">
      <protection locked="0"/>
    </xf>
    <xf numFmtId="3" fontId="19" fillId="24" borderId="130" xfId="0" applyNumberFormat="1" applyFont="1" applyFill="1" applyBorder="1" applyProtection="1">
      <protection locked="0"/>
    </xf>
    <xf numFmtId="208" fontId="19" fillId="24" borderId="66" xfId="0" applyNumberFormat="1" applyFont="1" applyFill="1" applyBorder="1" applyAlignment="1">
      <alignment horizontal="right"/>
    </xf>
    <xf numFmtId="208" fontId="19" fillId="24" borderId="50" xfId="0" applyNumberFormat="1" applyFont="1" applyFill="1" applyBorder="1" applyAlignment="1">
      <alignment horizontal="right"/>
    </xf>
    <xf numFmtId="208" fontId="19" fillId="24" borderId="47" xfId="0" applyNumberFormat="1" applyFont="1" applyFill="1" applyBorder="1" applyAlignment="1">
      <alignment horizontal="right"/>
    </xf>
    <xf numFmtId="3" fontId="3" fillId="0" borderId="98" xfId="51" applyNumberFormat="1" applyFont="1" applyFill="1" applyBorder="1" applyProtection="1">
      <protection locked="0"/>
    </xf>
    <xf numFmtId="3" fontId="0" fillId="0" borderId="99" xfId="0" applyNumberFormat="1" applyBorder="1" applyProtection="1">
      <protection locked="0"/>
    </xf>
    <xf numFmtId="3" fontId="3" fillId="0" borderId="47" xfId="51" applyNumberFormat="1" applyFont="1" applyFill="1" applyBorder="1" applyProtection="1">
      <protection locked="0"/>
    </xf>
    <xf numFmtId="3" fontId="0" fillId="0" borderId="79" xfId="0" applyNumberFormat="1" applyBorder="1" applyProtection="1">
      <protection locked="0"/>
    </xf>
    <xf numFmtId="3" fontId="0" fillId="0" borderId="86" xfId="0" applyNumberFormat="1" applyBorder="1" applyProtection="1">
      <protection locked="0"/>
    </xf>
    <xf numFmtId="208" fontId="0" fillId="0" borderId="103" xfId="0" applyNumberFormat="1" applyBorder="1"/>
    <xf numFmtId="0" fontId="28" fillId="0" borderId="0" xfId="0" applyFont="1" applyBorder="1" applyAlignment="1">
      <alignment horizontal="left" vertical="center" wrapText="1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 wrapText="1"/>
    </xf>
    <xf numFmtId="0" fontId="25" fillId="0" borderId="35" xfId="0" applyFont="1" applyFill="1" applyBorder="1" applyAlignment="1" applyProtection="1">
      <alignment horizontal="center" vertical="center" wrapText="1"/>
    </xf>
    <xf numFmtId="0" fontId="21" fillId="0" borderId="35" xfId="0" applyFont="1" applyFill="1" applyBorder="1" applyAlignment="1" applyProtection="1">
      <alignment horizontal="center" vertical="center" wrapText="1"/>
    </xf>
    <xf numFmtId="0" fontId="104" fillId="0" borderId="35" xfId="0" applyFont="1" applyFill="1" applyBorder="1" applyAlignment="1" applyProtection="1">
      <alignment horizontal="center" vertical="center" wrapText="1"/>
    </xf>
    <xf numFmtId="215" fontId="3" fillId="0" borderId="35" xfId="0" applyNumberFormat="1" applyFont="1" applyFill="1" applyBorder="1" applyAlignment="1" applyProtection="1">
      <alignment horizontal="center"/>
    </xf>
    <xf numFmtId="215" fontId="3" fillId="0" borderId="35" xfId="32" applyNumberFormat="1" applyFont="1" applyBorder="1" applyAlignment="1"/>
    <xf numFmtId="214" fontId="3" fillId="0" borderId="35" xfId="0" applyNumberFormat="1" applyFont="1" applyBorder="1" applyAlignment="1"/>
    <xf numFmtId="214" fontId="6" fillId="0" borderId="35" xfId="0" applyNumberFormat="1" applyFont="1" applyBorder="1" applyAlignment="1"/>
    <xf numFmtId="214" fontId="105" fillId="0" borderId="35" xfId="0" applyNumberFormat="1" applyFont="1" applyBorder="1" applyAlignment="1"/>
    <xf numFmtId="181" fontId="57" fillId="24" borderId="0" xfId="47" applyFont="1" applyFill="1" applyAlignment="1" applyProtection="1">
      <alignment vertical="center"/>
    </xf>
    <xf numFmtId="181" fontId="15" fillId="24" borderId="0" xfId="47" applyFont="1" applyFill="1" applyBorder="1" applyAlignment="1" applyProtection="1">
      <alignment vertical="center"/>
    </xf>
    <xf numFmtId="181" fontId="57" fillId="24" borderId="111" xfId="47" applyFont="1" applyFill="1" applyBorder="1" applyAlignment="1" applyProtection="1">
      <alignment vertical="center"/>
    </xf>
    <xf numFmtId="181" fontId="15" fillId="24" borderId="111" xfId="47" applyFont="1" applyFill="1" applyBorder="1" applyAlignment="1" applyProtection="1">
      <alignment vertical="center"/>
    </xf>
    <xf numFmtId="181" fontId="15" fillId="24" borderId="0" xfId="47" applyFont="1" applyFill="1" applyBorder="1" applyAlignment="1" applyProtection="1">
      <alignment horizontal="left" vertical="center"/>
    </xf>
    <xf numFmtId="181" fontId="57" fillId="24" borderId="78" xfId="47" applyFont="1" applyFill="1" applyBorder="1" applyAlignment="1" applyProtection="1">
      <alignment vertical="center"/>
    </xf>
    <xf numFmtId="181" fontId="15" fillId="24" borderId="78" xfId="47" applyFont="1" applyFill="1" applyBorder="1" applyAlignment="1" applyProtection="1">
      <alignment vertical="center"/>
    </xf>
    <xf numFmtId="181" fontId="15" fillId="24" borderId="0" xfId="47" applyFont="1" applyFill="1" applyAlignment="1" applyProtection="1">
      <alignment vertical="center"/>
    </xf>
    <xf numFmtId="181" fontId="15" fillId="24" borderId="0" xfId="47" applyFont="1" applyFill="1" applyBorder="1" applyAlignment="1" applyProtection="1">
      <alignment vertical="top"/>
    </xf>
    <xf numFmtId="181" fontId="15" fillId="25" borderId="35" xfId="47" applyFont="1" applyFill="1" applyBorder="1" applyAlignment="1" applyProtection="1">
      <alignment vertical="center"/>
    </xf>
    <xf numFmtId="0" fontId="18" fillId="0" borderId="131" xfId="55" applyFont="1" applyFill="1" applyBorder="1" applyAlignment="1" applyProtection="1">
      <alignment horizontal="centerContinuous" vertical="center"/>
    </xf>
    <xf numFmtId="3" fontId="3" fillId="0" borderId="132" xfId="55" applyNumberFormat="1" applyFont="1" applyFill="1" applyBorder="1" applyProtection="1">
      <protection locked="0"/>
    </xf>
    <xf numFmtId="208" fontId="3" fillId="24" borderId="120" xfId="55" applyNumberFormat="1" applyFont="1" applyFill="1" applyBorder="1"/>
    <xf numFmtId="0" fontId="18" fillId="0" borderId="133" xfId="55" applyFont="1" applyFill="1" applyBorder="1" applyAlignment="1" applyProtection="1">
      <alignment horizontal="centerContinuous" vertical="center"/>
    </xf>
    <xf numFmtId="0" fontId="41" fillId="0" borderId="33" xfId="55" applyFont="1" applyFill="1" applyBorder="1" applyAlignment="1" applyProtection="1">
      <alignment horizontal="center"/>
    </xf>
    <xf numFmtId="3" fontId="3" fillId="0" borderId="108" xfId="55" applyNumberFormat="1" applyFont="1" applyFill="1" applyBorder="1" applyProtection="1">
      <protection locked="0"/>
    </xf>
    <xf numFmtId="208" fontId="3" fillId="24" borderId="49" xfId="55" applyNumberFormat="1" applyFont="1" applyFill="1" applyBorder="1"/>
    <xf numFmtId="0" fontId="41" fillId="0" borderId="134" xfId="55" applyFont="1" applyFill="1" applyBorder="1" applyAlignment="1" applyProtection="1">
      <alignment horizontal="center"/>
    </xf>
    <xf numFmtId="0" fontId="20" fillId="0" borderId="81" xfId="50" applyFont="1" applyFill="1" applyBorder="1" applyAlignment="1" applyProtection="1">
      <alignment horizontal="center"/>
    </xf>
    <xf numFmtId="0" fontId="20" fillId="0" borderId="135" xfId="50" applyFont="1" applyFill="1" applyBorder="1" applyAlignment="1" applyProtection="1">
      <alignment horizontal="center"/>
    </xf>
    <xf numFmtId="0" fontId="20" fillId="0" borderId="136" xfId="50" applyFont="1" applyFill="1" applyBorder="1" applyAlignment="1" applyProtection="1">
      <alignment horizontal="center"/>
    </xf>
    <xf numFmtId="0" fontId="20" fillId="0" borderId="81" xfId="51" applyFont="1" applyFill="1" applyBorder="1" applyAlignment="1" applyProtection="1">
      <alignment horizontal="center"/>
    </xf>
    <xf numFmtId="0" fontId="20" fillId="0" borderId="135" xfId="51" applyFont="1" applyFill="1" applyBorder="1" applyAlignment="1" applyProtection="1">
      <alignment horizontal="center"/>
    </xf>
    <xf numFmtId="0" fontId="20" fillId="0" borderId="136" xfId="51" applyFont="1" applyFill="1" applyBorder="1" applyAlignment="1" applyProtection="1">
      <alignment horizontal="center"/>
    </xf>
    <xf numFmtId="181" fontId="23" fillId="24" borderId="131" xfId="47" applyFont="1" applyFill="1" applyBorder="1" applyAlignment="1" applyProtection="1">
      <alignment horizontal="center" vertical="center"/>
    </xf>
    <xf numFmtId="0" fontId="18" fillId="0" borderId="112" xfId="0" applyNumberFormat="1" applyFont="1" applyFill="1" applyBorder="1" applyAlignment="1" applyProtection="1">
      <alignment horizontal="center" vertical="center" wrapText="1"/>
    </xf>
    <xf numFmtId="0" fontId="18" fillId="0" borderId="112" xfId="0" applyFont="1" applyFill="1" applyBorder="1" applyAlignment="1" applyProtection="1">
      <alignment horizontal="center" vertical="center" wrapText="1"/>
    </xf>
    <xf numFmtId="0" fontId="18" fillId="0" borderId="112" xfId="0" applyFont="1" applyFill="1" applyBorder="1" applyAlignment="1">
      <alignment horizontal="center" vertical="center" wrapText="1"/>
    </xf>
    <xf numFmtId="181" fontId="108" fillId="24" borderId="0" xfId="47" applyFont="1" applyFill="1" applyAlignment="1" applyProtection="1">
      <alignment vertical="center"/>
    </xf>
    <xf numFmtId="49" fontId="15" fillId="25" borderId="62" xfId="47" applyNumberFormat="1" applyFont="1" applyFill="1" applyBorder="1" applyAlignment="1" applyProtection="1">
      <alignment horizontal="left" vertical="center"/>
      <protection locked="0"/>
    </xf>
    <xf numFmtId="49" fontId="15" fillId="25" borderId="35" xfId="47" applyNumberFormat="1" applyFont="1" applyFill="1" applyBorder="1" applyAlignment="1" applyProtection="1">
      <alignment horizontal="left" vertical="center"/>
      <protection locked="0"/>
    </xf>
    <xf numFmtId="49" fontId="15" fillId="25" borderId="50" xfId="44" applyNumberFormat="1" applyFont="1" applyFill="1" applyBorder="1" applyAlignment="1" applyProtection="1">
      <alignment horizontal="left" vertical="center"/>
      <protection locked="0"/>
    </xf>
    <xf numFmtId="49" fontId="15" fillId="25" borderId="62" xfId="0" applyNumberFormat="1" applyFont="1" applyFill="1" applyBorder="1" applyAlignment="1" applyProtection="1">
      <alignment horizontal="left" vertical="center"/>
      <protection locked="0"/>
    </xf>
    <xf numFmtId="49" fontId="15" fillId="25" borderId="35" xfId="44" applyNumberFormat="1" applyFont="1" applyFill="1" applyBorder="1" applyAlignment="1" applyProtection="1">
      <alignment horizontal="left" vertical="center"/>
      <protection locked="0"/>
    </xf>
    <xf numFmtId="49" fontId="8" fillId="25" borderId="59" xfId="22" applyNumberFormat="1" applyFill="1" applyBorder="1" applyAlignment="1" applyProtection="1">
      <alignment horizontal="left" vertical="center"/>
      <protection locked="0"/>
    </xf>
    <xf numFmtId="49" fontId="15" fillId="25" borderId="35" xfId="0" applyNumberFormat="1" applyFont="1" applyFill="1" applyBorder="1" applyAlignment="1" applyProtection="1">
      <alignment horizontal="left"/>
      <protection locked="0"/>
    </xf>
    <xf numFmtId="0" fontId="0" fillId="0" borderId="0" xfId="0" applyAlignment="1"/>
    <xf numFmtId="181" fontId="9" fillId="24" borderId="0" xfId="47" applyFont="1" applyFill="1" applyBorder="1" applyAlignment="1" applyProtection="1">
      <alignment vertical="center" wrapText="1"/>
    </xf>
    <xf numFmtId="0" fontId="13" fillId="0" borderId="70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wrapText="1"/>
    </xf>
    <xf numFmtId="0" fontId="3" fillId="0" borderId="70" xfId="0" applyFont="1" applyFill="1" applyBorder="1" applyAlignment="1">
      <alignment horizontal="center"/>
    </xf>
    <xf numFmtId="0" fontId="3" fillId="0" borderId="137" xfId="0" applyFont="1" applyFill="1" applyBorder="1" applyAlignment="1" applyProtection="1">
      <alignment horizontal="left"/>
    </xf>
    <xf numFmtId="3" fontId="3" fillId="24" borderId="51" xfId="0" applyNumberFormat="1" applyFont="1" applyFill="1" applyBorder="1" applyAlignment="1"/>
    <xf numFmtId="3" fontId="3" fillId="0" borderId="51" xfId="0" applyNumberFormat="1" applyFont="1" applyFill="1" applyBorder="1" applyAlignment="1"/>
    <xf numFmtId="0" fontId="3" fillId="0" borderId="138" xfId="0" applyFont="1" applyFill="1" applyBorder="1" applyAlignment="1">
      <alignment horizontal="center"/>
    </xf>
    <xf numFmtId="0" fontId="3" fillId="0" borderId="104" xfId="55" applyFont="1" applyFill="1" applyBorder="1" applyAlignment="1" applyProtection="1">
      <alignment horizontal="center"/>
    </xf>
    <xf numFmtId="0" fontId="20" fillId="0" borderId="112" xfId="0" applyFont="1" applyFill="1" applyBorder="1" applyAlignment="1" applyProtection="1">
      <alignment horizontal="center" vertical="center" wrapText="1"/>
    </xf>
    <xf numFmtId="181" fontId="23" fillId="24" borderId="0" xfId="47" applyFont="1" applyFill="1" applyBorder="1" applyAlignment="1" applyProtection="1">
      <alignment horizontal="left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>
      <alignment horizontal="centerContinuous" vertical="center" wrapText="1"/>
    </xf>
    <xf numFmtId="0" fontId="36" fillId="0" borderId="35" xfId="0" applyFont="1" applyBorder="1"/>
    <xf numFmtId="0" fontId="138" fillId="0" borderId="35" xfId="0" applyFont="1" applyBorder="1"/>
    <xf numFmtId="181" fontId="57" fillId="29" borderId="0" xfId="47" applyFont="1" applyFill="1" applyAlignment="1" applyProtection="1">
      <alignment vertical="center"/>
    </xf>
    <xf numFmtId="181" fontId="65" fillId="29" borderId="0" xfId="47" applyFont="1" applyFill="1" applyBorder="1" applyAlignment="1" applyProtection="1">
      <alignment vertical="center"/>
    </xf>
    <xf numFmtId="181" fontId="65" fillId="30" borderId="35" xfId="47" applyFont="1" applyFill="1" applyBorder="1" applyAlignment="1" applyProtection="1">
      <alignment vertical="center"/>
    </xf>
    <xf numFmtId="1" fontId="9" fillId="29" borderId="131" xfId="47" applyNumberFormat="1" applyFont="1" applyFill="1" applyBorder="1" applyAlignment="1" applyProtection="1">
      <alignment vertical="center"/>
    </xf>
    <xf numFmtId="1" fontId="9" fillId="30" borderId="35" xfId="47" applyNumberFormat="1" applyFont="1" applyFill="1" applyBorder="1" applyAlignment="1" applyProtection="1">
      <alignment vertical="center"/>
    </xf>
    <xf numFmtId="1" fontId="9" fillId="29" borderId="0" xfId="47" applyNumberFormat="1" applyFont="1" applyFill="1" applyBorder="1" applyAlignment="1" applyProtection="1">
      <alignment vertical="center"/>
    </xf>
    <xf numFmtId="0" fontId="10" fillId="0" borderId="94" xfId="0" applyFont="1" applyBorder="1" applyAlignment="1">
      <alignment horizontal="center" vertical="center" wrapText="1"/>
    </xf>
    <xf numFmtId="0" fontId="10" fillId="0" borderId="139" xfId="0" applyFont="1" applyBorder="1" applyAlignment="1">
      <alignment horizontal="center" vertical="center" wrapText="1"/>
    </xf>
    <xf numFmtId="0" fontId="10" fillId="0" borderId="140" xfId="0" applyFont="1" applyBorder="1" applyAlignment="1">
      <alignment horizontal="center" vertical="center" wrapText="1"/>
    </xf>
    <xf numFmtId="0" fontId="10" fillId="0" borderId="14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/>
    </xf>
    <xf numFmtId="0" fontId="3" fillId="0" borderId="40" xfId="0" applyFont="1" applyFill="1" applyBorder="1" applyAlignment="1" applyProtection="1">
      <alignment horizontal="justify" wrapText="1"/>
    </xf>
    <xf numFmtId="0" fontId="3" fillId="0" borderId="48" xfId="0" applyFont="1" applyFill="1" applyBorder="1" applyAlignment="1" applyProtection="1">
      <alignment horizontal="justify" wrapText="1"/>
    </xf>
    <xf numFmtId="181" fontId="65" fillId="24" borderId="125" xfId="47" applyFont="1" applyFill="1" applyBorder="1" applyAlignment="1" applyProtection="1">
      <alignment horizontal="left" vertical="center"/>
    </xf>
    <xf numFmtId="181" fontId="113" fillId="24" borderId="0" xfId="47" applyFont="1" applyFill="1" applyBorder="1" applyAlignment="1" applyProtection="1">
      <alignment vertical="center"/>
    </xf>
    <xf numFmtId="0" fontId="0" fillId="0" borderId="0" xfId="0" applyNumberFormat="1"/>
    <xf numFmtId="0" fontId="3" fillId="0" borderId="137" xfId="0" applyFont="1" applyFill="1" applyBorder="1" applyAlignment="1" applyProtection="1">
      <alignment horizontal="justify" wrapText="1"/>
    </xf>
    <xf numFmtId="181" fontId="9" fillId="0" borderId="0" xfId="47" applyFont="1" applyFill="1" applyAlignment="1" applyProtection="1">
      <alignment horizontal="left" vertical="center"/>
    </xf>
    <xf numFmtId="181" fontId="23" fillId="0" borderId="0" xfId="47" applyFont="1" applyAlignment="1" applyProtection="1">
      <alignment vertical="center" wrapText="1"/>
    </xf>
    <xf numFmtId="0" fontId="9" fillId="0" borderId="0" xfId="45" applyFont="1" applyAlignment="1" applyProtection="1">
      <alignment vertical="center"/>
    </xf>
    <xf numFmtId="181" fontId="9" fillId="0" borderId="0" xfId="47" applyFont="1" applyAlignment="1" applyProtection="1">
      <alignment vertical="center"/>
    </xf>
    <xf numFmtId="181" fontId="9" fillId="0" borderId="0" xfId="47" applyFont="1" applyAlignment="1" applyProtection="1">
      <alignment horizontal="right" vertical="center"/>
    </xf>
    <xf numFmtId="181" fontId="9" fillId="0" borderId="0" xfId="47" applyFont="1" applyFill="1" applyBorder="1" applyAlignment="1" applyProtection="1">
      <alignment horizontal="right" vertical="center"/>
    </xf>
    <xf numFmtId="181" fontId="101" fillId="0" borderId="0" xfId="47" applyFont="1" applyFill="1" applyAlignment="1" applyProtection="1">
      <alignment horizontal="left" vertical="center"/>
    </xf>
    <xf numFmtId="181" fontId="101" fillId="0" borderId="0" xfId="47" applyFont="1" applyAlignment="1" applyProtection="1">
      <alignment horizontal="right" vertical="center"/>
    </xf>
    <xf numFmtId="181" fontId="101" fillId="0" borderId="0" xfId="47" applyFont="1" applyFill="1" applyBorder="1" applyAlignment="1" applyProtection="1">
      <alignment horizontal="right" vertical="center"/>
    </xf>
    <xf numFmtId="181" fontId="101" fillId="0" borderId="0" xfId="47" applyFont="1" applyFill="1" applyBorder="1" applyAlignment="1" applyProtection="1">
      <alignment vertical="center"/>
    </xf>
    <xf numFmtId="0" fontId="3" fillId="0" borderId="78" xfId="0" applyFont="1" applyFill="1" applyBorder="1" applyAlignment="1">
      <alignment horizontal="centerContinuous" vertical="center"/>
    </xf>
    <xf numFmtId="0" fontId="3" fillId="0" borderId="85" xfId="0" applyFont="1" applyFill="1" applyBorder="1" applyAlignment="1">
      <alignment horizontal="centerContinuous" vertical="center"/>
    </xf>
    <xf numFmtId="1" fontId="15" fillId="26" borderId="35" xfId="47" applyNumberFormat="1" applyFont="1" applyFill="1" applyBorder="1" applyAlignment="1" applyProtection="1">
      <alignment vertical="center"/>
    </xf>
    <xf numFmtId="181" fontId="66" fillId="0" borderId="78" xfId="47" applyFont="1" applyBorder="1" applyAlignment="1" applyProtection="1">
      <alignment vertical="center" wrapText="1"/>
    </xf>
    <xf numFmtId="181" fontId="114" fillId="0" borderId="78" xfId="47" applyFont="1" applyBorder="1" applyAlignment="1" applyProtection="1">
      <alignment vertical="center" wrapText="1"/>
    </xf>
    <xf numFmtId="0" fontId="10" fillId="0" borderId="6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wrapText="1"/>
    </xf>
    <xf numFmtId="0" fontId="6" fillId="0" borderId="102" xfId="0" applyFont="1" applyBorder="1" applyAlignment="1">
      <alignment horizontal="center" wrapText="1"/>
    </xf>
    <xf numFmtId="0" fontId="6" fillId="0" borderId="138" xfId="0" applyFont="1" applyBorder="1" applyAlignment="1">
      <alignment horizontal="center" wrapText="1"/>
    </xf>
    <xf numFmtId="181" fontId="114" fillId="0" borderId="131" xfId="47" applyFont="1" applyBorder="1" applyAlignment="1" applyProtection="1">
      <alignment vertical="center" wrapText="1"/>
    </xf>
    <xf numFmtId="3" fontId="19" fillId="24" borderId="79" xfId="0" applyNumberFormat="1" applyFont="1" applyFill="1" applyBorder="1" applyAlignment="1" applyProtection="1">
      <alignment wrapText="1"/>
      <protection locked="0"/>
    </xf>
    <xf numFmtId="3" fontId="14" fillId="0" borderId="79" xfId="51" applyNumberFormat="1" applyFont="1" applyFill="1" applyBorder="1" applyAlignment="1" applyProtection="1">
      <protection locked="0"/>
    </xf>
    <xf numFmtId="3" fontId="14" fillId="0" borderId="77" xfId="51" applyNumberFormat="1" applyFont="1" applyFill="1" applyBorder="1" applyAlignment="1" applyProtection="1">
      <protection locked="0"/>
    </xf>
    <xf numFmtId="3" fontId="14" fillId="0" borderId="132" xfId="51" applyNumberFormat="1" applyFont="1" applyFill="1" applyBorder="1" applyAlignment="1" applyProtection="1">
      <protection locked="0"/>
    </xf>
    <xf numFmtId="3" fontId="14" fillId="0" borderId="59" xfId="51" applyNumberFormat="1" applyFont="1" applyFill="1" applyBorder="1" applyAlignment="1" applyProtection="1">
      <protection locked="0"/>
    </xf>
    <xf numFmtId="3" fontId="3" fillId="0" borderId="66" xfId="0" applyNumberFormat="1" applyFont="1" applyBorder="1" applyAlignment="1" applyProtection="1">
      <protection locked="0"/>
    </xf>
    <xf numFmtId="3" fontId="3" fillId="0" borderId="35" xfId="0" applyNumberFormat="1" applyFont="1" applyBorder="1" applyAlignment="1">
      <alignment horizontal="center"/>
    </xf>
    <xf numFmtId="3" fontId="3" fillId="0" borderId="55" xfId="0" applyNumberFormat="1" applyFont="1" applyBorder="1" applyAlignment="1">
      <alignment horizontal="center"/>
    </xf>
    <xf numFmtId="3" fontId="14" fillId="0" borderId="35" xfId="32" applyNumberFormat="1" applyFont="1" applyBorder="1" applyAlignment="1"/>
    <xf numFmtId="0" fontId="139" fillId="0" borderId="0" xfId="0" applyFont="1" applyAlignment="1" applyProtection="1">
      <alignment horizontal="left" vertical="top"/>
    </xf>
    <xf numFmtId="49" fontId="15" fillId="0" borderId="35" xfId="47" applyNumberFormat="1" applyFont="1" applyFill="1" applyBorder="1" applyAlignment="1" applyProtection="1">
      <alignment horizontal="left" vertical="center"/>
      <protection locked="0"/>
    </xf>
    <xf numFmtId="49" fontId="8" fillId="0" borderId="59" xfId="22" applyNumberFormat="1" applyFill="1" applyBorder="1" applyAlignment="1" applyProtection="1">
      <alignment horizontal="left" vertical="center"/>
      <protection locked="0"/>
    </xf>
    <xf numFmtId="49" fontId="15" fillId="0" borderId="35" xfId="0" applyNumberFormat="1" applyFont="1" applyFill="1" applyBorder="1" applyAlignment="1" applyProtection="1">
      <alignment horizontal="left"/>
      <protection locked="0"/>
    </xf>
    <xf numFmtId="49" fontId="15" fillId="0" borderId="35" xfId="47" applyNumberFormat="1" applyFont="1" applyBorder="1" applyAlignment="1" applyProtection="1">
      <alignment horizontal="left" vertical="center"/>
      <protection locked="0"/>
    </xf>
    <xf numFmtId="49" fontId="15" fillId="0" borderId="35" xfId="0" applyNumberFormat="1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</xf>
    <xf numFmtId="208" fontId="3" fillId="0" borderId="0" xfId="0" applyNumberFormat="1" applyFont="1" applyFill="1" applyBorder="1" applyAlignment="1"/>
    <xf numFmtId="0" fontId="3" fillId="0" borderId="35" xfId="0" applyFont="1" applyFill="1" applyBorder="1" applyAlignment="1" applyProtection="1">
      <alignment horizontal="justify" vertical="center" wrapText="1"/>
    </xf>
    <xf numFmtId="0" fontId="6" fillId="31" borderId="72" xfId="0" applyFont="1" applyFill="1" applyBorder="1" applyAlignment="1" applyProtection="1">
      <alignment horizontal="center" vertical="center"/>
    </xf>
    <xf numFmtId="0" fontId="13" fillId="31" borderId="73" xfId="0" applyFont="1" applyFill="1" applyBorder="1" applyAlignment="1" applyProtection="1">
      <alignment horizontal="center" vertical="center" wrapText="1"/>
    </xf>
    <xf numFmtId="0" fontId="6" fillId="31" borderId="74" xfId="0" applyFont="1" applyFill="1" applyBorder="1" applyAlignment="1" applyProtection="1">
      <alignment horizontal="center" vertical="center" wrapText="1"/>
    </xf>
    <xf numFmtId="0" fontId="23" fillId="0" borderId="72" xfId="0" applyFont="1" applyFill="1" applyBorder="1" applyAlignment="1" applyProtection="1">
      <alignment horizontal="center" vertical="center" wrapText="1"/>
    </xf>
    <xf numFmtId="3" fontId="23" fillId="0" borderId="73" xfId="0" applyNumberFormat="1" applyFont="1" applyFill="1" applyBorder="1" applyAlignment="1" applyProtection="1">
      <alignment vertical="center"/>
    </xf>
    <xf numFmtId="0" fontId="0" fillId="0" borderId="115" xfId="0" applyBorder="1" applyProtection="1"/>
    <xf numFmtId="0" fontId="0" fillId="0" borderId="119" xfId="0" applyNumberFormat="1" applyBorder="1" applyProtection="1"/>
    <xf numFmtId="0" fontId="9" fillId="31" borderId="74" xfId="0" applyNumberFormat="1" applyFont="1" applyFill="1" applyBorder="1" applyAlignment="1" applyProtection="1">
      <alignment horizontal="center" vertical="center" wrapText="1"/>
    </xf>
    <xf numFmtId="0" fontId="9" fillId="31" borderId="74" xfId="0" applyNumberFormat="1" applyFont="1" applyFill="1" applyBorder="1" applyAlignment="1" applyProtection="1">
      <alignment horizontal="center" vertical="center"/>
    </xf>
    <xf numFmtId="0" fontId="140" fillId="0" borderId="0" xfId="0" applyFont="1"/>
    <xf numFmtId="0" fontId="3" fillId="0" borderId="21" xfId="0" applyFont="1" applyFill="1" applyBorder="1" applyAlignment="1" applyProtection="1">
      <alignment horizontal="justify" wrapText="1"/>
    </xf>
    <xf numFmtId="0" fontId="29" fillId="0" borderId="0" xfId="0" applyFont="1" applyAlignment="1" applyProtection="1"/>
    <xf numFmtId="0" fontId="29" fillId="0" borderId="0" xfId="0" applyFont="1" applyProtection="1"/>
    <xf numFmtId="0" fontId="25" fillId="0" borderId="0" xfId="0" applyFont="1" applyAlignment="1" applyProtection="1"/>
    <xf numFmtId="4" fontId="3" fillId="0" borderId="48" xfId="0" applyNumberFormat="1" applyFont="1" applyFill="1" applyBorder="1" applyAlignment="1" applyProtection="1">
      <alignment horizontal="justify"/>
    </xf>
    <xf numFmtId="0" fontId="0" fillId="0" borderId="0" xfId="0" applyFont="1" applyProtection="1"/>
    <xf numFmtId="0" fontId="3" fillId="0" borderId="0" xfId="0" applyFont="1" applyAlignment="1" applyProtection="1"/>
    <xf numFmtId="0" fontId="3" fillId="0" borderId="48" xfId="0" applyFont="1" applyFill="1" applyBorder="1" applyAlignment="1" applyProtection="1">
      <alignment horizontal="justify"/>
    </xf>
    <xf numFmtId="0" fontId="115" fillId="0" borderId="0" xfId="0" applyFont="1" applyAlignment="1" applyProtection="1"/>
    <xf numFmtId="0" fontId="0" fillId="0" borderId="0" xfId="0" applyNumberFormat="1" applyProtection="1"/>
    <xf numFmtId="181" fontId="15" fillId="0" borderId="0" xfId="47" applyFont="1" applyAlignment="1" applyProtection="1">
      <alignment horizontal="left" vertical="center"/>
    </xf>
    <xf numFmtId="181" fontId="15" fillId="0" borderId="0" xfId="47" applyFont="1" applyBorder="1" applyAlignment="1" applyProtection="1">
      <alignment vertical="center"/>
    </xf>
    <xf numFmtId="181" fontId="15" fillId="0" borderId="0" xfId="47" applyFont="1" applyAlignment="1" applyProtection="1">
      <alignment vertical="center"/>
    </xf>
    <xf numFmtId="181" fontId="5" fillId="0" borderId="35" xfId="47" applyFont="1" applyFill="1" applyBorder="1" applyAlignment="1" applyProtection="1">
      <alignment horizontal="center" vertical="center"/>
    </xf>
    <xf numFmtId="181" fontId="15" fillId="24" borderId="0" xfId="47" applyFont="1" applyFill="1" applyBorder="1" applyAlignment="1" applyProtection="1">
      <alignment vertical="center" wrapText="1"/>
    </xf>
    <xf numFmtId="181" fontId="15" fillId="29" borderId="0" xfId="47" applyFont="1" applyFill="1" applyBorder="1" applyAlignment="1" applyProtection="1">
      <alignment vertical="center"/>
    </xf>
    <xf numFmtId="0" fontId="3" fillId="0" borderId="0" xfId="0" applyFont="1" applyAlignment="1">
      <alignment horizontal="center" vertical="top"/>
    </xf>
    <xf numFmtId="0" fontId="41" fillId="0" borderId="0" xfId="0" applyFont="1" applyAlignment="1">
      <alignment horizontal="center" vertical="top"/>
    </xf>
    <xf numFmtId="208" fontId="3" fillId="32" borderId="118" xfId="0" applyNumberFormat="1" applyFont="1" applyFill="1" applyBorder="1"/>
    <xf numFmtId="208" fontId="3" fillId="32" borderId="119" xfId="0" applyNumberFormat="1" applyFont="1" applyFill="1" applyBorder="1"/>
    <xf numFmtId="208" fontId="3" fillId="32" borderId="48" xfId="0" applyNumberFormat="1" applyFont="1" applyFill="1" applyBorder="1"/>
    <xf numFmtId="208" fontId="3" fillId="32" borderId="70" xfId="0" applyNumberFormat="1" applyFont="1" applyFill="1" applyBorder="1"/>
    <xf numFmtId="208" fontId="3" fillId="32" borderId="137" xfId="0" applyNumberFormat="1" applyFont="1" applyFill="1" applyBorder="1"/>
    <xf numFmtId="208" fontId="3" fillId="32" borderId="138" xfId="0" applyNumberFormat="1" applyFont="1" applyFill="1" applyBorder="1"/>
    <xf numFmtId="208" fontId="3" fillId="32" borderId="75" xfId="0" applyNumberFormat="1" applyFont="1" applyFill="1" applyBorder="1" applyProtection="1"/>
    <xf numFmtId="208" fontId="3" fillId="32" borderId="142" xfId="0" applyNumberFormat="1" applyFont="1" applyFill="1" applyBorder="1" applyProtection="1"/>
    <xf numFmtId="0" fontId="3" fillId="32" borderId="38" xfId="0" applyFont="1" applyFill="1" applyBorder="1"/>
    <xf numFmtId="0" fontId="3" fillId="32" borderId="36" xfId="0" applyFont="1" applyFill="1" applyBorder="1"/>
    <xf numFmtId="0" fontId="6" fillId="32" borderId="143" xfId="0" applyFont="1" applyFill="1" applyBorder="1" applyAlignment="1">
      <alignment horizontal="centerContinuous" vertical="center" wrapText="1"/>
    </xf>
    <xf numFmtId="0" fontId="6" fillId="32" borderId="44" xfId="0" applyFont="1" applyFill="1" applyBorder="1" applyAlignment="1" applyProtection="1">
      <alignment horizontal="centerContinuous" vertical="center" wrapText="1"/>
    </xf>
    <xf numFmtId="0" fontId="41" fillId="32" borderId="22" xfId="0" applyFont="1" applyFill="1" applyBorder="1" applyAlignment="1" applyProtection="1">
      <alignment horizontal="center"/>
    </xf>
    <xf numFmtId="0" fontId="41" fillId="32" borderId="41" xfId="0" applyFont="1" applyFill="1" applyBorder="1" applyAlignment="1" applyProtection="1">
      <alignment horizontal="center"/>
    </xf>
    <xf numFmtId="0" fontId="141" fillId="0" borderId="0" xfId="0" applyFont="1" applyAlignment="1">
      <alignment horizontal="center" vertical="center"/>
    </xf>
    <xf numFmtId="1" fontId="15" fillId="29" borderId="0" xfId="47" applyNumberFormat="1" applyFont="1" applyFill="1" applyBorder="1" applyAlignment="1" applyProtection="1">
      <alignment vertical="center"/>
    </xf>
    <xf numFmtId="1" fontId="0" fillId="0" borderId="0" xfId="0" applyNumberFormat="1" applyProtection="1"/>
    <xf numFmtId="0" fontId="2" fillId="0" borderId="0" xfId="0" applyFont="1" applyAlignment="1">
      <alignment horizontal="right" vertical="top"/>
    </xf>
    <xf numFmtId="0" fontId="23" fillId="0" borderId="0" xfId="0" applyFont="1" applyAlignment="1">
      <alignment wrapText="1"/>
    </xf>
    <xf numFmtId="0" fontId="15" fillId="0" borderId="118" xfId="0" applyFont="1" applyFill="1" applyBorder="1" applyAlignment="1" applyProtection="1">
      <alignment horizontal="left" vertical="center" wrapText="1"/>
    </xf>
    <xf numFmtId="3" fontId="3" fillId="24" borderId="115" xfId="0" applyNumberFormat="1" applyFont="1" applyFill="1" applyBorder="1" applyAlignment="1">
      <alignment horizontal="center" vertical="center"/>
    </xf>
    <xf numFmtId="0" fontId="15" fillId="0" borderId="48" xfId="0" applyFont="1" applyFill="1" applyBorder="1" applyAlignment="1" applyProtection="1">
      <alignment horizontal="left" vertical="center" wrapText="1"/>
    </xf>
    <xf numFmtId="3" fontId="3" fillId="24" borderId="35" xfId="0" applyNumberFormat="1" applyFont="1" applyFill="1" applyBorder="1" applyAlignment="1">
      <alignment horizontal="center" vertical="center"/>
    </xf>
    <xf numFmtId="0" fontId="15" fillId="0" borderId="137" xfId="0" applyFont="1" applyFill="1" applyBorder="1" applyAlignment="1" applyProtection="1">
      <alignment horizontal="left" vertical="center" wrapText="1"/>
    </xf>
    <xf numFmtId="3" fontId="3" fillId="24" borderId="51" xfId="0" applyNumberFormat="1" applyFont="1" applyFill="1" applyBorder="1" applyAlignment="1">
      <alignment horizontal="center" vertical="center"/>
    </xf>
    <xf numFmtId="0" fontId="10" fillId="0" borderId="72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3" fontId="3" fillId="24" borderId="50" xfId="0" applyNumberFormat="1" applyFont="1" applyFill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15" fillId="0" borderId="50" xfId="0" applyNumberFormat="1" applyFont="1" applyFill="1" applyBorder="1" applyAlignment="1" applyProtection="1">
      <alignment vertical="center"/>
    </xf>
    <xf numFmtId="3" fontId="15" fillId="0" borderId="35" xfId="0" applyNumberFormat="1" applyFont="1" applyFill="1" applyBorder="1" applyAlignment="1" applyProtection="1">
      <alignment vertical="center"/>
    </xf>
    <xf numFmtId="3" fontId="15" fillId="0" borderId="50" xfId="0" applyNumberFormat="1" applyFont="1" applyFill="1" applyBorder="1" applyProtection="1">
      <protection locked="0"/>
    </xf>
    <xf numFmtId="3" fontId="15" fillId="0" borderId="35" xfId="0" applyNumberFormat="1" applyFont="1" applyFill="1" applyBorder="1" applyProtection="1">
      <protection locked="0"/>
    </xf>
    <xf numFmtId="3" fontId="15" fillId="0" borderId="35" xfId="0" applyNumberFormat="1" applyFont="1" applyFill="1" applyBorder="1" applyAlignment="1" applyProtection="1">
      <alignment horizontal="right" vertical="center"/>
    </xf>
    <xf numFmtId="3" fontId="15" fillId="0" borderId="51" xfId="0" applyNumberFormat="1" applyFont="1" applyFill="1" applyBorder="1" applyAlignment="1" applyProtection="1">
      <alignment vertical="center"/>
    </xf>
    <xf numFmtId="3" fontId="15" fillId="0" borderId="51" xfId="0" applyNumberFormat="1" applyFont="1" applyFill="1" applyBorder="1" applyProtection="1">
      <protection locked="0"/>
    </xf>
    <xf numFmtId="0" fontId="6" fillId="31" borderId="73" xfId="0" applyFont="1" applyFill="1" applyBorder="1" applyAlignment="1" applyProtection="1">
      <alignment horizontal="center" vertical="center" wrapText="1"/>
    </xf>
    <xf numFmtId="206" fontId="44" fillId="24" borderId="125" xfId="47" applyNumberFormat="1" applyFont="1" applyFill="1" applyBorder="1" applyAlignment="1" applyProtection="1">
      <alignment horizontal="left" vertical="center"/>
    </xf>
    <xf numFmtId="206" fontId="44" fillId="24" borderId="126" xfId="47" applyNumberFormat="1" applyFont="1" applyFill="1" applyBorder="1" applyAlignment="1" applyProtection="1">
      <alignment horizontal="left" vertical="center"/>
    </xf>
    <xf numFmtId="181" fontId="44" fillId="24" borderId="125" xfId="47" applyFill="1" applyBorder="1" applyAlignment="1" applyProtection="1">
      <alignment horizontal="left" vertical="center"/>
    </xf>
    <xf numFmtId="181" fontId="9" fillId="24" borderId="125" xfId="47" applyFont="1" applyFill="1" applyBorder="1" applyAlignment="1" applyProtection="1">
      <alignment horizontal="left" vertical="center"/>
    </xf>
    <xf numFmtId="0" fontId="0" fillId="24" borderId="125" xfId="0" applyFill="1" applyBorder="1" applyAlignment="1" applyProtection="1">
      <alignment horizontal="left" vertical="center"/>
    </xf>
    <xf numFmtId="0" fontId="0" fillId="0" borderId="125" xfId="0" applyBorder="1" applyAlignment="1">
      <alignment horizontal="left"/>
    </xf>
    <xf numFmtId="181" fontId="72" fillId="24" borderId="125" xfId="47" applyFont="1" applyFill="1" applyBorder="1" applyAlignment="1" applyProtection="1">
      <alignment horizontal="left" vertical="center" wrapText="1"/>
    </xf>
    <xf numFmtId="181" fontId="72" fillId="24" borderId="125" xfId="47" applyFont="1" applyFill="1" applyBorder="1" applyAlignment="1" applyProtection="1">
      <alignment horizontal="left" vertical="center"/>
    </xf>
    <xf numFmtId="0" fontId="65" fillId="29" borderId="125" xfId="0" applyFont="1" applyFill="1" applyBorder="1" applyAlignment="1" applyProtection="1">
      <alignment horizontal="left" vertical="center"/>
    </xf>
    <xf numFmtId="181" fontId="44" fillId="24" borderId="58" xfId="47" applyFill="1" applyBorder="1" applyAlignment="1" applyProtection="1">
      <alignment horizontal="left" vertical="center"/>
    </xf>
    <xf numFmtId="181" fontId="44" fillId="24" borderId="0" xfId="47" applyFill="1" applyAlignment="1" applyProtection="1">
      <alignment horizontal="left" vertical="center"/>
    </xf>
    <xf numFmtId="181" fontId="72" fillId="29" borderId="125" xfId="47" applyFont="1" applyFill="1" applyBorder="1" applyAlignment="1" applyProtection="1">
      <alignment horizontal="left" vertical="center" wrapText="1"/>
    </xf>
    <xf numFmtId="181" fontId="23" fillId="29" borderId="0" xfId="47" applyFont="1" applyFill="1" applyBorder="1" applyAlignment="1" applyProtection="1">
      <alignment horizontal="left" vertical="center" wrapText="1"/>
    </xf>
    <xf numFmtId="181" fontId="15" fillId="29" borderId="0" xfId="47" applyFont="1" applyFill="1" applyBorder="1" applyAlignment="1" applyProtection="1">
      <alignment vertical="center" wrapText="1"/>
    </xf>
    <xf numFmtId="181" fontId="65" fillId="24" borderId="23" xfId="47" applyFont="1" applyFill="1" applyBorder="1" applyAlignment="1" applyProtection="1">
      <alignment horizontal="left" vertical="center"/>
    </xf>
    <xf numFmtId="181" fontId="9" fillId="29" borderId="0" xfId="47" applyFont="1" applyFill="1" applyBorder="1" applyAlignment="1" applyProtection="1">
      <alignment vertical="center"/>
    </xf>
    <xf numFmtId="0" fontId="15" fillId="24" borderId="0" xfId="47" applyNumberFormat="1" applyFont="1" applyFill="1" applyBorder="1" applyAlignment="1" applyProtection="1">
      <alignment vertical="center"/>
    </xf>
    <xf numFmtId="181" fontId="23" fillId="29" borderId="0" xfId="47" applyFont="1" applyFill="1" applyBorder="1" applyAlignment="1" applyProtection="1">
      <alignment horizontal="left" vertical="center" wrapText="1"/>
    </xf>
    <xf numFmtId="0" fontId="65" fillId="29" borderId="125" xfId="36" applyFont="1" applyFill="1" applyBorder="1" applyAlignment="1" applyProtection="1">
      <alignment horizontal="left" vertical="center"/>
    </xf>
    <xf numFmtId="181" fontId="15" fillId="25" borderId="55" xfId="47" applyFont="1" applyFill="1" applyBorder="1" applyAlignment="1" applyProtection="1">
      <alignment vertical="center"/>
    </xf>
    <xf numFmtId="181" fontId="72" fillId="24" borderId="126" xfId="47" applyFont="1" applyFill="1" applyBorder="1" applyAlignment="1" applyProtection="1">
      <alignment horizontal="left" vertical="center"/>
    </xf>
    <xf numFmtId="0" fontId="120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0" fontId="15" fillId="0" borderId="50" xfId="0" applyFont="1" applyFill="1" applyBorder="1" applyAlignment="1" applyProtection="1">
      <alignment horizontal="center"/>
    </xf>
    <xf numFmtId="0" fontId="122" fillId="0" borderId="0" xfId="0" applyFont="1" applyBorder="1" applyAlignment="1">
      <alignment horizontal="left" vertical="center"/>
    </xf>
    <xf numFmtId="0" fontId="63" fillId="0" borderId="0" xfId="0" applyFont="1" applyAlignment="1">
      <alignment horizontal="center" vertical="center" wrapText="1"/>
    </xf>
    <xf numFmtId="3" fontId="3" fillId="0" borderId="35" xfId="0" quotePrefix="1" applyNumberFormat="1" applyFont="1" applyFill="1" applyBorder="1" applyAlignment="1"/>
    <xf numFmtId="0" fontId="3" fillId="0" borderId="39" xfId="0" applyFont="1" applyFill="1" applyBorder="1" applyAlignment="1" applyProtection="1">
      <alignment horizontal="justify"/>
    </xf>
    <xf numFmtId="1" fontId="122" fillId="0" borderId="0" xfId="0" applyNumberFormat="1" applyFont="1" applyBorder="1" applyAlignment="1">
      <alignment vertical="center"/>
    </xf>
    <xf numFmtId="40" fontId="3" fillId="24" borderId="115" xfId="32" applyFont="1" applyFill="1" applyBorder="1" applyAlignment="1">
      <alignment horizontal="center"/>
    </xf>
    <xf numFmtId="40" fontId="3" fillId="24" borderId="35" xfId="32" applyFont="1" applyFill="1" applyBorder="1" applyAlignment="1">
      <alignment horizontal="center"/>
    </xf>
    <xf numFmtId="40" fontId="3" fillId="24" borderId="51" xfId="32" applyFont="1" applyFill="1" applyBorder="1" applyAlignment="1">
      <alignment horizontal="center"/>
    </xf>
    <xf numFmtId="181" fontId="15" fillId="29" borderId="0" xfId="47" applyFont="1" applyFill="1" applyBorder="1" applyAlignment="1" applyProtection="1">
      <alignment vertical="center" wrapText="1"/>
    </xf>
    <xf numFmtId="181" fontId="123" fillId="24" borderId="0" xfId="47" applyFont="1" applyFill="1" applyAlignment="1" applyProtection="1">
      <alignment vertical="center"/>
    </xf>
    <xf numFmtId="2" fontId="124" fillId="25" borderId="35" xfId="47" applyNumberFormat="1" applyFont="1" applyFill="1" applyBorder="1" applyAlignment="1" applyProtection="1">
      <alignment vertical="center"/>
      <protection locked="0"/>
    </xf>
    <xf numFmtId="181" fontId="124" fillId="24" borderId="0" xfId="47" applyFont="1" applyFill="1" applyBorder="1" applyAlignment="1" applyProtection="1">
      <alignment vertical="center"/>
    </xf>
    <xf numFmtId="0" fontId="142" fillId="0" borderId="0" xfId="0" applyFont="1"/>
    <xf numFmtId="0" fontId="143" fillId="0" borderId="0" xfId="0" applyFont="1"/>
    <xf numFmtId="0" fontId="142" fillId="0" borderId="0" xfId="50" applyFont="1"/>
    <xf numFmtId="0" fontId="142" fillId="0" borderId="0" xfId="51" applyFont="1"/>
    <xf numFmtId="0" fontId="142" fillId="0" borderId="0" xfId="52" applyFont="1"/>
    <xf numFmtId="0" fontId="142" fillId="0" borderId="0" xfId="53" applyFont="1"/>
    <xf numFmtId="0" fontId="144" fillId="0" borderId="0" xfId="54" applyFont="1"/>
    <xf numFmtId="208" fontId="3" fillId="24" borderId="99" xfId="55" applyNumberFormat="1" applyFont="1" applyFill="1" applyBorder="1"/>
    <xf numFmtId="208" fontId="3" fillId="24" borderId="98" xfId="55" applyNumberFormat="1" applyFont="1" applyFill="1" applyBorder="1"/>
    <xf numFmtId="0" fontId="142" fillId="0" borderId="0" xfId="55" applyFont="1"/>
    <xf numFmtId="0" fontId="6" fillId="33" borderId="46" xfId="50" applyFont="1" applyFill="1" applyBorder="1" applyAlignment="1">
      <alignment horizontal="center"/>
    </xf>
    <xf numFmtId="0" fontId="6" fillId="29" borderId="46" xfId="50" applyFont="1" applyFill="1" applyBorder="1" applyAlignment="1">
      <alignment horizontal="center"/>
    </xf>
    <xf numFmtId="0" fontId="6" fillId="33" borderId="87" xfId="50" applyFont="1" applyFill="1" applyBorder="1" applyAlignment="1">
      <alignment horizontal="center"/>
    </xf>
    <xf numFmtId="0" fontId="145" fillId="0" borderId="0" xfId="0" applyFont="1" applyFill="1" applyBorder="1" applyAlignment="1" applyProtection="1">
      <alignment horizontal="left" vertical="center"/>
    </xf>
    <xf numFmtId="3" fontId="15" fillId="24" borderId="35" xfId="0" applyNumberFormat="1" applyFont="1" applyFill="1" applyBorder="1" applyProtection="1">
      <protection locked="0"/>
    </xf>
    <xf numFmtId="3" fontId="15" fillId="24" borderId="55" xfId="0" applyNumberFormat="1" applyFont="1" applyFill="1" applyBorder="1" applyProtection="1">
      <protection locked="0"/>
    </xf>
    <xf numFmtId="0" fontId="5" fillId="0" borderId="72" xfId="0" applyFont="1" applyFill="1" applyBorder="1" applyAlignment="1" applyProtection="1">
      <alignment horizontal="right" vertical="center"/>
    </xf>
    <xf numFmtId="3" fontId="15" fillId="24" borderId="48" xfId="0" applyNumberFormat="1" applyFont="1" applyFill="1" applyBorder="1" applyProtection="1">
      <protection locked="0"/>
    </xf>
    <xf numFmtId="3" fontId="15" fillId="24" borderId="70" xfId="0" applyNumberFormat="1" applyFont="1" applyFill="1" applyBorder="1" applyProtection="1">
      <protection locked="0"/>
    </xf>
    <xf numFmtId="3" fontId="15" fillId="24" borderId="144" xfId="0" applyNumberFormat="1" applyFont="1" applyFill="1" applyBorder="1" applyProtection="1">
      <protection locked="0"/>
    </xf>
    <xf numFmtId="3" fontId="15" fillId="24" borderId="102" xfId="0" applyNumberFormat="1" applyFont="1" applyFill="1" applyBorder="1" applyProtection="1">
      <protection locked="0"/>
    </xf>
    <xf numFmtId="0" fontId="23" fillId="24" borderId="0" xfId="0" applyFont="1" applyFill="1" applyBorder="1" applyAlignment="1">
      <alignment horizontal="center" vertical="center" wrapText="1"/>
    </xf>
    <xf numFmtId="3" fontId="15" fillId="24" borderId="0" xfId="0" applyNumberFormat="1" applyFont="1" applyFill="1" applyBorder="1" applyProtection="1">
      <protection locked="0"/>
    </xf>
    <xf numFmtId="216" fontId="15" fillId="0" borderId="0" xfId="32" applyNumberFormat="1" applyFont="1" applyFill="1" applyBorder="1" applyAlignment="1"/>
    <xf numFmtId="0" fontId="125" fillId="0" borderId="48" xfId="0" applyFont="1" applyFill="1" applyBorder="1" applyAlignment="1" applyProtection="1">
      <alignment horizontal="center"/>
    </xf>
    <xf numFmtId="0" fontId="125" fillId="0" borderId="35" xfId="0" applyFont="1" applyFill="1" applyBorder="1" applyAlignment="1" applyProtection="1">
      <alignment horizontal="center"/>
    </xf>
    <xf numFmtId="0" fontId="125" fillId="0" borderId="70" xfId="0" applyFont="1" applyFill="1" applyBorder="1" applyAlignment="1" applyProtection="1">
      <alignment horizontal="center"/>
    </xf>
    <xf numFmtId="0" fontId="125" fillId="0" borderId="0" xfId="0" applyFont="1" applyFill="1" applyBorder="1" applyAlignment="1" applyProtection="1">
      <alignment horizontal="center"/>
    </xf>
    <xf numFmtId="1" fontId="11" fillId="0" borderId="48" xfId="0" applyNumberFormat="1" applyFont="1" applyFill="1" applyBorder="1" applyAlignment="1" applyProtection="1">
      <alignment horizontal="center" vertical="center" wrapText="1"/>
    </xf>
    <xf numFmtId="0" fontId="11" fillId="0" borderId="70" xfId="0" applyFont="1" applyFill="1" applyBorder="1" applyAlignment="1" applyProtection="1">
      <alignment horizontal="center" vertical="center" wrapText="1"/>
    </xf>
    <xf numFmtId="0" fontId="11" fillId="0" borderId="48" xfId="0" applyFont="1" applyFill="1" applyBorder="1" applyAlignment="1" applyProtection="1">
      <alignment horizontal="center" vertical="center" wrapText="1"/>
    </xf>
    <xf numFmtId="0" fontId="23" fillId="0" borderId="118" xfId="0" applyFont="1" applyFill="1" applyBorder="1" applyAlignment="1" applyProtection="1">
      <alignment horizontal="center" vertical="center"/>
    </xf>
    <xf numFmtId="0" fontId="23" fillId="0" borderId="119" xfId="0" applyFont="1" applyFill="1" applyBorder="1" applyAlignment="1" applyProtection="1">
      <alignment horizontal="center" vertical="center" wrapText="1"/>
    </xf>
    <xf numFmtId="0" fontId="15" fillId="0" borderId="48" xfId="0" applyFont="1" applyFill="1" applyBorder="1" applyAlignment="1">
      <alignment horizontal="centerContinuous"/>
    </xf>
    <xf numFmtId="0" fontId="109" fillId="0" borderId="70" xfId="0" applyFont="1" applyFill="1" applyBorder="1" applyAlignment="1">
      <alignment horizontal="center"/>
    </xf>
    <xf numFmtId="0" fontId="10" fillId="0" borderId="48" xfId="0" applyFont="1" applyFill="1" applyBorder="1" applyAlignment="1" applyProtection="1">
      <alignment horizontal="center" vertical="center"/>
    </xf>
    <xf numFmtId="0" fontId="10" fillId="0" borderId="70" xfId="0" applyFont="1" applyBorder="1" applyAlignment="1">
      <alignment horizontal="center" vertical="center" wrapText="1"/>
    </xf>
    <xf numFmtId="0" fontId="15" fillId="0" borderId="48" xfId="0" applyFont="1" applyFill="1" applyBorder="1" applyAlignment="1" applyProtection="1">
      <alignment horizontal="left"/>
    </xf>
    <xf numFmtId="0" fontId="3" fillId="0" borderId="70" xfId="0" applyFont="1" applyFill="1" applyBorder="1" applyAlignment="1" applyProtection="1">
      <alignment horizontal="center"/>
    </xf>
    <xf numFmtId="0" fontId="15" fillId="0" borderId="144" xfId="0" applyFont="1" applyFill="1" applyBorder="1" applyAlignment="1" applyProtection="1">
      <alignment horizontal="left"/>
    </xf>
    <xf numFmtId="0" fontId="3" fillId="0" borderId="102" xfId="0" applyFont="1" applyFill="1" applyBorder="1" applyAlignment="1" applyProtection="1">
      <alignment horizontal="center"/>
    </xf>
    <xf numFmtId="0" fontId="15" fillId="0" borderId="74" xfId="0" applyFont="1" applyFill="1" applyBorder="1" applyAlignment="1" applyProtection="1">
      <alignment horizontal="center"/>
    </xf>
    <xf numFmtId="0" fontId="0" fillId="0" borderId="125" xfId="0" applyBorder="1" applyAlignment="1"/>
    <xf numFmtId="4" fontId="15" fillId="24" borderId="48" xfId="0" applyNumberFormat="1" applyFont="1" applyFill="1" applyBorder="1" applyProtection="1">
      <protection locked="0"/>
    </xf>
    <xf numFmtId="4" fontId="15" fillId="24" borderId="35" xfId="0" applyNumberFormat="1" applyFont="1" applyFill="1" applyBorder="1" applyProtection="1">
      <protection locked="0"/>
    </xf>
    <xf numFmtId="4" fontId="15" fillId="24" borderId="70" xfId="0" applyNumberFormat="1" applyFont="1" applyFill="1" applyBorder="1" applyProtection="1">
      <protection locked="0"/>
    </xf>
    <xf numFmtId="4" fontId="15" fillId="24" borderId="137" xfId="0" applyNumberFormat="1" applyFont="1" applyFill="1" applyBorder="1" applyProtection="1">
      <protection locked="0"/>
    </xf>
    <xf numFmtId="4" fontId="15" fillId="24" borderId="51" xfId="0" applyNumberFormat="1" applyFont="1" applyFill="1" applyBorder="1" applyProtection="1">
      <protection locked="0"/>
    </xf>
    <xf numFmtId="4" fontId="15" fillId="24" borderId="138" xfId="0" applyNumberFormat="1" applyFont="1" applyFill="1" applyBorder="1" applyProtection="1">
      <protection locked="0"/>
    </xf>
    <xf numFmtId="4" fontId="15" fillId="0" borderId="75" xfId="32" applyNumberFormat="1" applyFont="1" applyFill="1" applyBorder="1" applyAlignment="1"/>
    <xf numFmtId="4" fontId="15" fillId="0" borderId="142" xfId="32" applyNumberFormat="1" applyFont="1" applyFill="1" applyBorder="1" applyAlignment="1"/>
    <xf numFmtId="38" fontId="15" fillId="0" borderId="72" xfId="32" applyNumberFormat="1" applyFont="1" applyFill="1" applyBorder="1" applyAlignment="1"/>
    <xf numFmtId="38" fontId="15" fillId="0" borderId="74" xfId="32" applyNumberFormat="1" applyFont="1" applyFill="1" applyBorder="1" applyAlignment="1"/>
    <xf numFmtId="40" fontId="14" fillId="0" borderId="103" xfId="32" applyFont="1" applyFill="1" applyBorder="1" applyAlignment="1"/>
    <xf numFmtId="40" fontId="14" fillId="0" borderId="104" xfId="32" applyFont="1" applyFill="1" applyBorder="1" applyAlignment="1"/>
    <xf numFmtId="40" fontId="14" fillId="0" borderId="105" xfId="32" applyFont="1" applyFill="1" applyBorder="1" applyAlignment="1"/>
    <xf numFmtId="0" fontId="15" fillId="0" borderId="72" xfId="0" applyFont="1" applyBorder="1" applyAlignment="1">
      <alignment horizontal="center"/>
    </xf>
    <xf numFmtId="0" fontId="15" fillId="0" borderId="74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38" fontId="24" fillId="25" borderId="35" xfId="32" applyNumberFormat="1" applyFont="1" applyFill="1" applyBorder="1" applyAlignment="1" applyProtection="1">
      <alignment vertical="center"/>
      <protection locked="0"/>
    </xf>
    <xf numFmtId="181" fontId="3" fillId="0" borderId="78" xfId="47" applyFont="1" applyBorder="1" applyAlignment="1" applyProtection="1">
      <alignment vertical="center"/>
    </xf>
    <xf numFmtId="181" fontId="3" fillId="0" borderId="0" xfId="47" applyFont="1" applyAlignment="1" applyProtection="1">
      <alignment vertical="center"/>
    </xf>
    <xf numFmtId="181" fontId="3" fillId="0" borderId="0" xfId="47" applyFont="1" applyAlignment="1" applyProtection="1">
      <alignment horizontal="left" vertical="center"/>
    </xf>
    <xf numFmtId="181" fontId="65" fillId="24" borderId="125" xfId="47" applyFont="1" applyFill="1" applyBorder="1" applyAlignment="1" applyProtection="1">
      <alignment horizontal="left" vertical="center" wrapText="1"/>
    </xf>
    <xf numFmtId="181" fontId="73" fillId="24" borderId="56" xfId="47" applyFont="1" applyFill="1" applyBorder="1" applyAlignment="1" applyProtection="1">
      <alignment vertical="center" wrapText="1"/>
    </xf>
    <xf numFmtId="0" fontId="0" fillId="0" borderId="0" xfId="0" applyBorder="1" applyAlignment="1"/>
    <xf numFmtId="38" fontId="15" fillId="0" borderId="73" xfId="32" applyNumberFormat="1" applyFont="1" applyFill="1" applyBorder="1" applyAlignment="1"/>
    <xf numFmtId="0" fontId="15" fillId="0" borderId="68" xfId="0" applyNumberFormat="1" applyFont="1" applyFill="1" applyBorder="1" applyAlignment="1" applyProtection="1">
      <alignment wrapText="1"/>
      <protection locked="0"/>
    </xf>
    <xf numFmtId="0" fontId="15" fillId="0" borderId="69" xfId="0" applyNumberFormat="1" applyFont="1" applyFill="1" applyBorder="1" applyAlignment="1" applyProtection="1">
      <alignment wrapText="1"/>
      <protection locked="0"/>
    </xf>
    <xf numFmtId="0" fontId="15" fillId="0" borderId="71" xfId="0" applyNumberFormat="1" applyFont="1" applyFill="1" applyBorder="1" applyAlignment="1" applyProtection="1">
      <alignment wrapText="1"/>
      <protection locked="0"/>
    </xf>
    <xf numFmtId="208" fontId="3" fillId="24" borderId="64" xfId="0" applyNumberFormat="1" applyFont="1" applyFill="1" applyBorder="1" applyAlignment="1" applyProtection="1">
      <protection locked="0"/>
    </xf>
    <xf numFmtId="208" fontId="3" fillId="24" borderId="47" xfId="0" applyNumberFormat="1" applyFont="1" applyFill="1" applyBorder="1" applyAlignment="1" applyProtection="1">
      <protection locked="0"/>
    </xf>
    <xf numFmtId="208" fontId="3" fillId="0" borderId="64" xfId="0" applyNumberFormat="1" applyFont="1" applyFill="1" applyBorder="1" applyAlignment="1" applyProtection="1">
      <protection locked="0"/>
    </xf>
    <xf numFmtId="208" fontId="3" fillId="0" borderId="47" xfId="0" applyNumberFormat="1" applyFont="1" applyFill="1" applyBorder="1" applyAlignment="1" applyProtection="1">
      <protection locked="0"/>
    </xf>
    <xf numFmtId="0" fontId="7" fillId="0" borderId="0" xfId="0" applyFont="1" applyBorder="1" applyAlignment="1" applyProtection="1">
      <alignment vertical="top"/>
    </xf>
    <xf numFmtId="0" fontId="31" fillId="0" borderId="45" xfId="0" applyNumberFormat="1" applyFont="1" applyFill="1" applyBorder="1" applyAlignment="1" applyProtection="1"/>
    <xf numFmtId="0" fontId="31" fillId="0" borderId="12" xfId="0" applyNumberFormat="1" applyFont="1" applyBorder="1" applyAlignment="1"/>
    <xf numFmtId="0" fontId="31" fillId="0" borderId="31" xfId="0" applyNumberFormat="1" applyFont="1" applyBorder="1" applyAlignment="1"/>
    <xf numFmtId="0" fontId="31" fillId="0" borderId="116" xfId="0" applyNumberFormat="1" applyFont="1" applyBorder="1" applyAlignment="1"/>
    <xf numFmtId="0" fontId="3" fillId="0" borderId="12" xfId="0" applyFont="1" applyBorder="1"/>
    <xf numFmtId="0" fontId="3" fillId="0" borderId="31" xfId="0" applyFont="1" applyBorder="1"/>
    <xf numFmtId="208" fontId="3" fillId="0" borderId="79" xfId="55" applyNumberFormat="1" applyFont="1" applyFill="1" applyBorder="1" applyProtection="1">
      <protection locked="0"/>
    </xf>
    <xf numFmtId="208" fontId="3" fillId="0" borderId="77" xfId="55" applyNumberFormat="1" applyFont="1" applyFill="1" applyBorder="1" applyProtection="1">
      <protection locked="0"/>
    </xf>
    <xf numFmtId="208" fontId="3" fillId="0" borderId="108" xfId="55" applyNumberFormat="1" applyFont="1" applyFill="1" applyBorder="1" applyProtection="1">
      <protection locked="0"/>
    </xf>
    <xf numFmtId="208" fontId="3" fillId="0" borderId="132" xfId="55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vertical="center"/>
    </xf>
    <xf numFmtId="208" fontId="3" fillId="0" borderId="64" xfId="0" applyNumberFormat="1" applyFont="1" applyFill="1" applyBorder="1" applyProtection="1">
      <protection locked="0"/>
    </xf>
    <xf numFmtId="208" fontId="3" fillId="0" borderId="65" xfId="0" applyNumberFormat="1" applyFont="1" applyFill="1" applyBorder="1" applyProtection="1">
      <protection locked="0"/>
    </xf>
    <xf numFmtId="208" fontId="3" fillId="0" borderId="66" xfId="0" applyNumberFormat="1" applyFont="1" applyFill="1" applyBorder="1" applyProtection="1">
      <protection locked="0"/>
    </xf>
    <xf numFmtId="208" fontId="3" fillId="0" borderId="67" xfId="0" applyNumberFormat="1" applyFont="1" applyFill="1" applyBorder="1" applyProtection="1">
      <protection locked="0"/>
    </xf>
    <xf numFmtId="0" fontId="6" fillId="0" borderId="97" xfId="0" applyFont="1" applyFill="1" applyBorder="1" applyAlignment="1" applyProtection="1">
      <alignment horizontal="center" vertical="center"/>
    </xf>
    <xf numFmtId="0" fontId="24" fillId="0" borderId="78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4" fillId="0" borderId="131" xfId="0" applyFont="1" applyFill="1" applyBorder="1" applyAlignment="1" applyProtection="1">
      <alignment horizontal="center"/>
    </xf>
    <xf numFmtId="0" fontId="15" fillId="0" borderId="78" xfId="0" applyFont="1" applyFill="1" applyBorder="1" applyAlignment="1" applyProtection="1">
      <alignment horizontal="center"/>
    </xf>
    <xf numFmtId="0" fontId="24" fillId="0" borderId="62" xfId="0" applyFont="1" applyFill="1" applyBorder="1" applyAlignment="1" applyProtection="1">
      <alignment horizontal="center"/>
    </xf>
    <xf numFmtId="0" fontId="24" fillId="0" borderId="57" xfId="0" applyFont="1" applyFill="1" applyBorder="1" applyAlignment="1" applyProtection="1">
      <alignment horizontal="center"/>
    </xf>
    <xf numFmtId="0" fontId="24" fillId="0" borderId="132" xfId="0" applyFont="1" applyFill="1" applyBorder="1" applyAlignment="1" applyProtection="1">
      <alignment horizontal="center"/>
    </xf>
    <xf numFmtId="0" fontId="24" fillId="0" borderId="145" xfId="0" applyFont="1" applyFill="1" applyBorder="1" applyAlignment="1" applyProtection="1">
      <alignment horizontal="center"/>
    </xf>
    <xf numFmtId="3" fontId="24" fillId="0" borderId="78" xfId="0" applyNumberFormat="1" applyFont="1" applyFill="1" applyBorder="1" applyAlignment="1" applyProtection="1">
      <alignment horizontal="center"/>
    </xf>
    <xf numFmtId="208" fontId="14" fillId="0" borderId="100" xfId="32" applyNumberFormat="1" applyFont="1" applyFill="1" applyBorder="1" applyAlignment="1" applyProtection="1">
      <protection locked="0"/>
    </xf>
    <xf numFmtId="208" fontId="14" fillId="0" borderId="70" xfId="32" applyNumberFormat="1" applyFont="1" applyFill="1" applyBorder="1" applyAlignment="1" applyProtection="1">
      <protection locked="0"/>
    </xf>
    <xf numFmtId="208" fontId="14" fillId="0" borderId="28" xfId="32" applyNumberFormat="1" applyFont="1" applyFill="1" applyBorder="1" applyAlignment="1" applyProtection="1">
      <protection locked="0"/>
    </xf>
    <xf numFmtId="208" fontId="14" fillId="0" borderId="88" xfId="32" applyNumberFormat="1" applyFont="1" applyFill="1" applyBorder="1" applyAlignment="1" applyProtection="1">
      <protection locked="0"/>
    </xf>
    <xf numFmtId="208" fontId="14" fillId="0" borderId="79" xfId="32" applyNumberFormat="1" applyFont="1" applyFill="1" applyBorder="1" applyAlignment="1" applyProtection="1">
      <protection locked="0"/>
    </xf>
    <xf numFmtId="208" fontId="14" fillId="0" borderId="64" xfId="32" applyNumberFormat="1" applyFont="1" applyFill="1" applyBorder="1" applyAlignment="1" applyProtection="1">
      <protection locked="0"/>
    </xf>
    <xf numFmtId="1" fontId="15" fillId="25" borderId="35" xfId="47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3" fillId="0" borderId="48" xfId="41" applyFont="1" applyFill="1" applyBorder="1" applyAlignment="1" applyProtection="1">
      <alignment horizontal="left"/>
    </xf>
    <xf numFmtId="0" fontId="11" fillId="0" borderId="35" xfId="41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top" wrapText="1"/>
    </xf>
    <xf numFmtId="0" fontId="0" fillId="0" borderId="125" xfId="0" applyFill="1" applyBorder="1" applyAlignment="1" applyProtection="1">
      <alignment horizontal="left" vertical="top" wrapText="1"/>
    </xf>
    <xf numFmtId="0" fontId="44" fillId="0" borderId="0" xfId="47" applyNumberFormat="1" applyFill="1" applyAlignment="1" applyProtection="1">
      <alignment vertical="center"/>
      <protection locked="0"/>
    </xf>
    <xf numFmtId="181" fontId="44" fillId="0" borderId="0" xfId="47" applyFill="1" applyAlignment="1" applyProtection="1">
      <alignment vertical="center"/>
    </xf>
    <xf numFmtId="0" fontId="0" fillId="29" borderId="0" xfId="0" applyFill="1" applyBorder="1" applyAlignment="1">
      <alignment vertical="top" wrapText="1"/>
    </xf>
    <xf numFmtId="0" fontId="0" fillId="29" borderId="0" xfId="0" applyFill="1" applyBorder="1" applyAlignment="1" applyProtection="1">
      <alignment horizontal="left" vertical="top" wrapText="1"/>
    </xf>
    <xf numFmtId="0" fontId="0" fillId="29" borderId="0" xfId="0" applyFill="1" applyAlignment="1" applyProtection="1">
      <alignment horizontal="left" vertical="top" wrapText="1"/>
    </xf>
    <xf numFmtId="181" fontId="15" fillId="29" borderId="78" xfId="47" applyFont="1" applyFill="1" applyBorder="1" applyAlignment="1" applyProtection="1">
      <alignment vertical="center"/>
    </xf>
    <xf numFmtId="0" fontId="0" fillId="29" borderId="0" xfId="0" applyFill="1" applyBorder="1" applyAlignment="1">
      <alignment wrapText="1"/>
    </xf>
    <xf numFmtId="0" fontId="0" fillId="29" borderId="0" xfId="0" applyFill="1" applyAlignment="1">
      <alignment wrapText="1"/>
    </xf>
    <xf numFmtId="0" fontId="0" fillId="29" borderId="125" xfId="0" applyFill="1" applyBorder="1" applyAlignment="1">
      <alignment wrapText="1"/>
    </xf>
    <xf numFmtId="181" fontId="44" fillId="29" borderId="58" xfId="47" applyFill="1" applyBorder="1" applyAlignment="1" applyProtection="1">
      <alignment horizontal="left" vertical="center"/>
    </xf>
    <xf numFmtId="3" fontId="3" fillId="0" borderId="64" xfId="0" applyNumberFormat="1" applyFont="1" applyFill="1" applyBorder="1" applyAlignment="1" applyProtection="1"/>
    <xf numFmtId="1" fontId="9" fillId="29" borderId="0" xfId="0" applyNumberFormat="1" applyFont="1" applyFill="1" applyBorder="1" applyAlignment="1" applyProtection="1">
      <alignment vertical="center"/>
    </xf>
    <xf numFmtId="0" fontId="146" fillId="0" borderId="0" xfId="0" applyFont="1"/>
    <xf numFmtId="38" fontId="3" fillId="0" borderId="35" xfId="32" applyNumberFormat="1" applyFont="1" applyBorder="1" applyAlignment="1"/>
    <xf numFmtId="0" fontId="23" fillId="0" borderId="22" xfId="0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23" fillId="0" borderId="41" xfId="0" applyFont="1" applyBorder="1" applyAlignment="1">
      <alignment horizontal="left" wrapText="1"/>
    </xf>
    <xf numFmtId="0" fontId="3" fillId="0" borderId="111" xfId="0" applyFont="1" applyBorder="1" applyAlignment="1"/>
    <xf numFmtId="0" fontId="2" fillId="0" borderId="111" xfId="0" applyFont="1" applyBorder="1" applyAlignment="1">
      <alignment vertical="top"/>
    </xf>
    <xf numFmtId="0" fontId="2" fillId="0" borderId="111" xfId="0" applyFont="1" applyBorder="1" applyAlignment="1">
      <alignment vertical="top" wrapText="1"/>
    </xf>
    <xf numFmtId="0" fontId="2" fillId="0" borderId="111" xfId="0" applyFont="1" applyBorder="1" applyAlignment="1"/>
    <xf numFmtId="0" fontId="127" fillId="0" borderId="0" xfId="0" applyFont="1"/>
    <xf numFmtId="0" fontId="2" fillId="0" borderId="0" xfId="0" applyFont="1" applyAlignment="1">
      <alignment wrapText="1"/>
    </xf>
    <xf numFmtId="0" fontId="4" fillId="0" borderId="48" xfId="0" applyFont="1" applyFill="1" applyBorder="1" applyAlignment="1" applyProtection="1">
      <alignment horizontal="left"/>
    </xf>
    <xf numFmtId="0" fontId="4" fillId="0" borderId="137" xfId="0" applyFont="1" applyFill="1" applyBorder="1" applyAlignment="1" applyProtection="1">
      <alignment horizontal="left"/>
    </xf>
    <xf numFmtId="0" fontId="4" fillId="0" borderId="48" xfId="0" applyFont="1" applyFill="1" applyBorder="1" applyAlignment="1" applyProtection="1">
      <alignment horizontal="left" wrapText="1"/>
    </xf>
    <xf numFmtId="0" fontId="6" fillId="0" borderId="119" xfId="0" applyFont="1" applyFill="1" applyBorder="1" applyAlignment="1" applyProtection="1">
      <alignment horizontal="center" vertical="center" wrapText="1"/>
    </xf>
    <xf numFmtId="0" fontId="6" fillId="0" borderId="70" xfId="0" applyFont="1" applyFill="1" applyBorder="1" applyAlignment="1" applyProtection="1">
      <alignment horizontal="center" vertical="center" wrapText="1"/>
    </xf>
    <xf numFmtId="0" fontId="6" fillId="0" borderId="138" xfId="0" applyFont="1" applyFill="1" applyBorder="1" applyAlignment="1" applyProtection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128" fillId="0" borderId="0" xfId="0" applyFont="1" applyAlignment="1">
      <alignment vertical="center"/>
    </xf>
    <xf numFmtId="181" fontId="23" fillId="24" borderId="0" xfId="47" applyFont="1" applyFill="1" applyBorder="1" applyAlignment="1" applyProtection="1">
      <alignment vertical="top" wrapText="1"/>
    </xf>
    <xf numFmtId="222" fontId="3" fillId="24" borderId="109" xfId="0" applyNumberFormat="1" applyFont="1" applyFill="1" applyBorder="1"/>
    <xf numFmtId="181" fontId="15" fillId="29" borderId="0" xfId="47" applyFont="1" applyFill="1" applyBorder="1" applyAlignment="1" applyProtection="1">
      <alignment vertical="center" wrapText="1"/>
    </xf>
    <xf numFmtId="181" fontId="81" fillId="24" borderId="0" xfId="47" applyFont="1" applyFill="1" applyBorder="1" applyAlignment="1" applyProtection="1">
      <alignment vertical="top"/>
    </xf>
    <xf numFmtId="181" fontId="15" fillId="24" borderId="0" xfId="47" applyFont="1" applyFill="1" applyAlignment="1" applyProtection="1">
      <alignment vertical="top"/>
    </xf>
    <xf numFmtId="181" fontId="57" fillId="24" borderId="0" xfId="47" applyFont="1" applyFill="1" applyAlignment="1" applyProtection="1">
      <alignment vertical="top"/>
    </xf>
    <xf numFmtId="181" fontId="57" fillId="29" borderId="0" xfId="47" applyFont="1" applyFill="1" applyAlignment="1" applyProtection="1">
      <alignment vertical="top"/>
    </xf>
    <xf numFmtId="1" fontId="9" fillId="25" borderId="35" xfId="47" applyNumberFormat="1" applyFont="1" applyFill="1" applyBorder="1" applyAlignment="1" applyProtection="1">
      <alignment horizontal="center" vertical="center"/>
      <protection locked="0"/>
    </xf>
    <xf numFmtId="181" fontId="44" fillId="24" borderId="0" xfId="47" applyFill="1" applyAlignment="1" applyProtection="1">
      <alignment horizontal="center" vertical="center"/>
      <protection locked="0"/>
    </xf>
    <xf numFmtId="0" fontId="100" fillId="26" borderId="131" xfId="46" applyFont="1" applyFill="1" applyBorder="1" applyAlignment="1" applyProtection="1">
      <alignment horizontal="centerContinuous" readingOrder="1"/>
    </xf>
    <xf numFmtId="181" fontId="15" fillId="26" borderId="131" xfId="48" applyNumberFormat="1" applyFont="1" applyFill="1" applyBorder="1" applyAlignment="1" applyProtection="1">
      <alignment horizontal="centerContinuous" vertical="center" readingOrder="1"/>
    </xf>
    <xf numFmtId="181" fontId="15" fillId="26" borderId="83" xfId="48" applyNumberFormat="1" applyFont="1" applyFill="1" applyBorder="1" applyAlignment="1" applyProtection="1">
      <alignment horizontal="centerContinuous" vertical="center" readingOrder="1"/>
    </xf>
    <xf numFmtId="0" fontId="38" fillId="0" borderId="114" xfId="36" applyFont="1" applyFill="1" applyBorder="1" applyAlignment="1" applyProtection="1">
      <alignment horizontal="center" vertical="center"/>
    </xf>
    <xf numFmtId="0" fontId="100" fillId="26" borderId="0" xfId="46" applyFont="1" applyFill="1" applyBorder="1" applyAlignment="1" applyProtection="1">
      <alignment horizontal="centerContinuous" readingOrder="1"/>
    </xf>
    <xf numFmtId="0" fontId="100" fillId="26" borderId="0" xfId="46" applyFont="1" applyFill="1" applyBorder="1" applyAlignment="1" applyProtection="1">
      <alignment horizontal="centerContinuous"/>
    </xf>
    <xf numFmtId="181" fontId="15" fillId="26" borderId="0" xfId="48" applyNumberFormat="1" applyFont="1" applyFill="1" applyBorder="1" applyAlignment="1" applyProtection="1">
      <alignment horizontal="centerContinuous" vertical="center"/>
    </xf>
    <xf numFmtId="0" fontId="130" fillId="32" borderId="0" xfId="36" applyFont="1" applyFill="1" applyAlignment="1" applyProtection="1">
      <alignment horizontal="centerContinuous" vertical="center"/>
    </xf>
    <xf numFmtId="0" fontId="131" fillId="32" borderId="0" xfId="36" applyFont="1" applyFill="1" applyAlignment="1" applyProtection="1">
      <alignment horizontal="centerContinuous" vertical="center"/>
    </xf>
    <xf numFmtId="0" fontId="132" fillId="32" borderId="0" xfId="36" applyFont="1" applyFill="1" applyAlignment="1" applyProtection="1">
      <alignment horizontal="center" vertical="center"/>
    </xf>
    <xf numFmtId="0" fontId="124" fillId="32" borderId="0" xfId="36" applyFont="1" applyFill="1" applyAlignment="1" applyProtection="1">
      <alignment horizontal="centerContinuous" vertical="center"/>
    </xf>
    <xf numFmtId="0" fontId="7" fillId="0" borderId="0" xfId="36" applyFont="1" applyBorder="1" applyAlignment="1" applyProtection="1">
      <alignment horizontal="left" vertical="top"/>
    </xf>
    <xf numFmtId="206" fontId="3" fillId="0" borderId="0" xfId="36" applyNumberFormat="1" applyFont="1" applyBorder="1" applyProtection="1"/>
    <xf numFmtId="0" fontId="3" fillId="0" borderId="0" xfId="36" applyFont="1" applyProtection="1"/>
    <xf numFmtId="0" fontId="133" fillId="0" borderId="0" xfId="36" applyFont="1" applyBorder="1" applyAlignment="1" applyProtection="1">
      <alignment horizontal="center" vertical="center"/>
    </xf>
    <xf numFmtId="0" fontId="3" fillId="0" borderId="0" xfId="36" applyFont="1" applyAlignment="1" applyProtection="1">
      <alignment horizontal="center" vertical="center"/>
    </xf>
    <xf numFmtId="0" fontId="3" fillId="0" borderId="0" xfId="36" applyFont="1" applyAlignment="1" applyProtection="1">
      <alignment vertical="center"/>
    </xf>
    <xf numFmtId="0" fontId="28" fillId="0" borderId="0" xfId="36" applyFont="1" applyBorder="1" applyAlignment="1" applyProtection="1">
      <alignment horizontal="left" vertical="center"/>
    </xf>
    <xf numFmtId="0" fontId="30" fillId="0" borderId="0" xfId="36" applyAlignment="1" applyProtection="1">
      <alignment horizontal="center" vertical="center"/>
    </xf>
    <xf numFmtId="0" fontId="30" fillId="0" borderId="0" xfId="36" applyAlignment="1" applyProtection="1">
      <alignment vertical="center"/>
    </xf>
    <xf numFmtId="0" fontId="5" fillId="0" borderId="118" xfId="36" applyFont="1" applyFill="1" applyBorder="1" applyAlignment="1" applyProtection="1">
      <alignment horizontal="centerContinuous" vertical="center" wrapText="1"/>
    </xf>
    <xf numFmtId="0" fontId="3" fillId="0" borderId="12" xfId="36" applyFont="1" applyFill="1" applyBorder="1" applyAlignment="1" applyProtection="1">
      <alignment horizontal="centerContinuous"/>
    </xf>
    <xf numFmtId="0" fontId="30" fillId="0" borderId="31" xfId="36" applyBorder="1" applyAlignment="1" applyProtection="1">
      <alignment horizontal="centerContinuous" vertical="center"/>
    </xf>
    <xf numFmtId="0" fontId="30" fillId="27" borderId="141" xfId="36" applyFill="1" applyBorder="1" applyProtection="1"/>
    <xf numFmtId="0" fontId="30" fillId="0" borderId="12" xfId="36" applyBorder="1" applyAlignment="1" applyProtection="1">
      <alignment horizontal="centerContinuous" vertical="center"/>
    </xf>
    <xf numFmtId="0" fontId="3" fillId="0" borderId="31" xfId="36" applyFont="1" applyFill="1" applyBorder="1" applyAlignment="1" applyProtection="1">
      <alignment horizontal="centerContinuous" vertical="center"/>
    </xf>
    <xf numFmtId="0" fontId="37" fillId="0" borderId="0" xfId="36" applyFont="1" applyBorder="1" applyAlignment="1" applyProtection="1">
      <alignment vertical="center" wrapText="1"/>
    </xf>
    <xf numFmtId="0" fontId="133" fillId="0" borderId="0" xfId="36" applyFont="1" applyFill="1" applyBorder="1" applyAlignment="1" applyProtection="1">
      <alignment horizontal="center" vertical="center" wrapText="1"/>
    </xf>
    <xf numFmtId="0" fontId="3" fillId="0" borderId="48" xfId="36" applyFont="1" applyFill="1" applyBorder="1" applyAlignment="1" applyProtection="1">
      <alignment horizontal="centerContinuous"/>
    </xf>
    <xf numFmtId="0" fontId="11" fillId="0" borderId="35" xfId="36" applyFont="1" applyFill="1" applyBorder="1" applyAlignment="1" applyProtection="1">
      <alignment horizontal="center"/>
    </xf>
    <xf numFmtId="0" fontId="3" fillId="0" borderId="35" xfId="36" applyFont="1" applyFill="1" applyBorder="1" applyAlignment="1" applyProtection="1">
      <alignment horizontal="centerContinuous"/>
    </xf>
    <xf numFmtId="0" fontId="18" fillId="27" borderId="146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/>
    </xf>
    <xf numFmtId="0" fontId="3" fillId="0" borderId="70" xfId="36" applyFont="1" applyFill="1" applyBorder="1" applyAlignment="1" applyProtection="1">
      <alignment horizontal="centerContinuous"/>
    </xf>
    <xf numFmtId="0" fontId="5" fillId="0" borderId="147" xfId="36" applyFont="1" applyFill="1" applyBorder="1" applyAlignment="1" applyProtection="1">
      <alignment horizontal="left" wrapText="1"/>
    </xf>
    <xf numFmtId="0" fontId="5" fillId="0" borderId="131" xfId="36" applyFont="1" applyFill="1" applyBorder="1" applyAlignment="1" applyProtection="1">
      <alignment horizontal="left" wrapText="1"/>
    </xf>
    <xf numFmtId="0" fontId="5" fillId="0" borderId="128" xfId="36" applyFont="1" applyFill="1" applyBorder="1" applyAlignment="1" applyProtection="1">
      <alignment horizontal="left" wrapText="1"/>
    </xf>
    <xf numFmtId="0" fontId="30" fillId="27" borderId="41" xfId="36" applyFill="1" applyBorder="1" applyProtection="1"/>
    <xf numFmtId="0" fontId="133" fillId="0" borderId="0" xfId="36" applyFont="1" applyFill="1" applyBorder="1" applyAlignment="1" applyProtection="1">
      <alignment horizontal="centerContinuous" vertical="center"/>
    </xf>
    <xf numFmtId="0" fontId="30" fillId="0" borderId="0" xfId="36" applyAlignment="1" applyProtection="1">
      <alignment horizontal="centerContinuous" vertical="center"/>
    </xf>
    <xf numFmtId="0" fontId="112" fillId="0" borderId="39" xfId="36" applyFont="1" applyFill="1" applyBorder="1" applyAlignment="1" applyProtection="1">
      <alignment horizontal="left" vertical="top" wrapText="1"/>
    </xf>
    <xf numFmtId="0" fontId="5" fillId="0" borderId="78" xfId="36" applyFont="1" applyFill="1" applyBorder="1" applyAlignment="1" applyProtection="1">
      <alignment horizontal="left" wrapText="1"/>
    </xf>
    <xf numFmtId="0" fontId="5" fillId="0" borderId="68" xfId="36" applyFont="1" applyFill="1" applyBorder="1" applyAlignment="1" applyProtection="1">
      <alignment horizontal="left" wrapText="1"/>
    </xf>
    <xf numFmtId="0" fontId="3" fillId="0" borderId="48" xfId="36" applyFont="1" applyFill="1" applyBorder="1" applyAlignment="1" applyProtection="1">
      <alignment horizontal="left"/>
    </xf>
    <xf numFmtId="3" fontId="30" fillId="0" borderId="70" xfId="36" applyNumberFormat="1" applyFill="1" applyBorder="1" applyAlignment="1" applyProtection="1">
      <protection locked="0"/>
    </xf>
    <xf numFmtId="0" fontId="30" fillId="27" borderId="146" xfId="36" applyFill="1" applyBorder="1" applyProtection="1"/>
    <xf numFmtId="3" fontId="30" fillId="0" borderId="70" xfId="36" applyNumberFormat="1" applyBorder="1" applyAlignment="1" applyProtection="1">
      <protection locked="0"/>
    </xf>
    <xf numFmtId="0" fontId="133" fillId="0" borderId="0" xfId="36" applyFont="1" applyFill="1" applyBorder="1" applyAlignment="1" applyProtection="1">
      <alignment horizontal="center" vertical="center"/>
    </xf>
    <xf numFmtId="3" fontId="30" fillId="0" borderId="0" xfId="36" applyNumberFormat="1" applyAlignment="1" applyProtection="1">
      <alignment vertical="center"/>
    </xf>
    <xf numFmtId="3" fontId="30" fillId="0" borderId="0" xfId="36" applyNumberFormat="1" applyAlignment="1" applyProtection="1">
      <alignment horizontal="center" vertical="center"/>
    </xf>
    <xf numFmtId="3" fontId="30" fillId="0" borderId="102" xfId="36" applyNumberFormat="1" applyFill="1" applyBorder="1" applyAlignment="1" applyProtection="1">
      <protection locked="0"/>
    </xf>
    <xf numFmtId="0" fontId="109" fillId="0" borderId="148" xfId="36" applyFont="1" applyFill="1" applyBorder="1" applyAlignment="1" applyProtection="1">
      <alignment horizontal="right"/>
    </xf>
    <xf numFmtId="0" fontId="3" fillId="0" borderId="149" xfId="36" applyFont="1" applyFill="1" applyBorder="1" applyAlignment="1" applyProtection="1"/>
    <xf numFmtId="208" fontId="6" fillId="0" borderId="138" xfId="36" applyNumberFormat="1" applyFont="1" applyFill="1" applyBorder="1" applyAlignment="1" applyProtection="1">
      <alignment vertical="center"/>
    </xf>
    <xf numFmtId="0" fontId="38" fillId="0" borderId="114" xfId="36" applyFont="1" applyFill="1" applyBorder="1" applyAlignment="1" applyProtection="1">
      <alignment horizontal="center" vertical="center" wrapText="1"/>
    </xf>
    <xf numFmtId="0" fontId="5" fillId="0" borderId="149" xfId="36" applyFont="1" applyFill="1" applyBorder="1" applyAlignment="1" applyProtection="1"/>
    <xf numFmtId="0" fontId="30" fillId="0" borderId="22" xfId="36" applyBorder="1" applyProtection="1"/>
    <xf numFmtId="3" fontId="30" fillId="0" borderId="41" xfId="36" applyNumberFormat="1" applyBorder="1" applyAlignment="1" applyProtection="1"/>
    <xf numFmtId="0" fontId="31" fillId="0" borderId="22" xfId="36" applyFont="1" applyBorder="1" applyAlignment="1" applyProtection="1">
      <alignment horizontal="center"/>
    </xf>
    <xf numFmtId="0" fontId="43" fillId="0" borderId="0" xfId="36" applyFont="1" applyBorder="1" applyAlignment="1" applyProtection="1">
      <alignment vertical="center" wrapText="1"/>
    </xf>
    <xf numFmtId="0" fontId="109" fillId="0" borderId="39" xfId="36" applyFont="1" applyFill="1" applyBorder="1" applyAlignment="1" applyProtection="1">
      <alignment horizontal="left"/>
    </xf>
    <xf numFmtId="0" fontId="109" fillId="0" borderId="78" xfId="36" applyFont="1" applyFill="1" applyBorder="1" applyAlignment="1" applyProtection="1">
      <alignment horizontal="left"/>
    </xf>
    <xf numFmtId="0" fontId="109" fillId="0" borderId="68" xfId="36" applyFont="1" applyFill="1" applyBorder="1" applyAlignment="1" applyProtection="1">
      <alignment horizontal="left"/>
    </xf>
    <xf numFmtId="0" fontId="3" fillId="0" borderId="22" xfId="36" applyFont="1" applyFill="1" applyBorder="1" applyAlignment="1" applyProtection="1">
      <alignment horizontal="left"/>
    </xf>
    <xf numFmtId="0" fontId="11" fillId="0" borderId="0" xfId="36" applyFont="1" applyFill="1" applyBorder="1" applyAlignment="1" applyProtection="1">
      <alignment horizontal="center"/>
    </xf>
    <xf numFmtId="0" fontId="3" fillId="0" borderId="16" xfId="36" applyFont="1" applyFill="1" applyBorder="1" applyAlignment="1" applyProtection="1">
      <alignment horizontal="left"/>
    </xf>
    <xf numFmtId="0" fontId="11" fillId="0" borderId="111" xfId="36" applyFont="1" applyFill="1" applyBorder="1" applyAlignment="1" applyProtection="1">
      <alignment horizontal="center"/>
    </xf>
    <xf numFmtId="3" fontId="30" fillId="0" borderId="150" xfId="36" applyNumberFormat="1" applyBorder="1" applyAlignment="1" applyProtection="1"/>
    <xf numFmtId="0" fontId="5" fillId="0" borderId="16" xfId="36" applyFont="1" applyFill="1" applyBorder="1" applyAlignment="1" applyProtection="1">
      <alignment horizontal="center"/>
    </xf>
    <xf numFmtId="0" fontId="5" fillId="0" borderId="126" xfId="36" applyFont="1" applyFill="1" applyBorder="1" applyAlignment="1" applyProtection="1"/>
    <xf numFmtId="208" fontId="6" fillId="0" borderId="74" xfId="36" applyNumberFormat="1" applyFont="1" applyFill="1" applyBorder="1" applyAlignment="1" applyProtection="1">
      <alignment vertical="center"/>
    </xf>
    <xf numFmtId="0" fontId="30" fillId="0" borderId="0" xfId="36" applyAlignment="1" applyProtection="1">
      <alignment horizontal="center"/>
    </xf>
    <xf numFmtId="0" fontId="31" fillId="0" borderId="0" xfId="36" applyFont="1" applyProtection="1"/>
    <xf numFmtId="0" fontId="31" fillId="0" borderId="0" xfId="36" applyFont="1" applyAlignment="1" applyProtection="1">
      <alignment horizontal="center" vertical="center"/>
    </xf>
    <xf numFmtId="0" fontId="30" fillId="0" borderId="0" xfId="36" applyBorder="1" applyAlignment="1" applyProtection="1">
      <alignment vertical="center"/>
    </xf>
    <xf numFmtId="0" fontId="109" fillId="0" borderId="45" xfId="36" applyFont="1" applyFill="1" applyBorder="1" applyAlignment="1" applyProtection="1">
      <alignment horizontal="left"/>
    </xf>
    <xf numFmtId="0" fontId="109" fillId="0" borderId="12" xfId="36" applyFont="1" applyFill="1" applyBorder="1" applyAlignment="1" applyProtection="1">
      <alignment horizontal="left"/>
    </xf>
    <xf numFmtId="0" fontId="109" fillId="0" borderId="31" xfId="36" applyFont="1" applyFill="1" applyBorder="1" applyAlignment="1" applyProtection="1">
      <alignment horizontal="left"/>
    </xf>
    <xf numFmtId="0" fontId="3" fillId="0" borderId="48" xfId="36" applyFont="1" applyFill="1" applyBorder="1" applyAlignment="1" applyProtection="1">
      <alignment horizontal="left" wrapText="1"/>
    </xf>
    <xf numFmtId="0" fontId="30" fillId="0" borderId="48" xfId="36" applyBorder="1" applyProtection="1"/>
    <xf numFmtId="0" fontId="30" fillId="0" borderId="48" xfId="36" applyFont="1" applyBorder="1" applyProtection="1"/>
    <xf numFmtId="208" fontId="6" fillId="0" borderId="142" xfId="36" applyNumberFormat="1" applyFont="1" applyFill="1" applyBorder="1" applyAlignment="1" applyProtection="1">
      <alignment vertical="center"/>
    </xf>
    <xf numFmtId="208" fontId="6" fillId="0" borderId="96" xfId="36" applyNumberFormat="1" applyFont="1" applyFill="1" applyBorder="1" applyAlignment="1" applyProtection="1">
      <alignment vertical="center"/>
    </xf>
    <xf numFmtId="0" fontId="30" fillId="0" borderId="0" xfId="36" applyFill="1" applyBorder="1" applyProtection="1"/>
    <xf numFmtId="0" fontId="143" fillId="29" borderId="0" xfId="0" applyFont="1" applyFill="1"/>
    <xf numFmtId="181" fontId="144" fillId="29" borderId="0" xfId="47" applyFont="1" applyFill="1" applyAlignment="1" applyProtection="1">
      <alignment vertical="center"/>
    </xf>
    <xf numFmtId="0" fontId="147" fillId="29" borderId="0" xfId="0" applyFont="1" applyFill="1"/>
    <xf numFmtId="181" fontId="44" fillId="24" borderId="0" xfId="47" applyFill="1" applyAlignment="1" applyProtection="1">
      <alignment horizontal="right" vertical="center"/>
      <protection locked="0"/>
    </xf>
    <xf numFmtId="181" fontId="23" fillId="24" borderId="0" xfId="47" applyFont="1" applyFill="1" applyBorder="1" applyAlignment="1" applyProtection="1">
      <alignment horizontal="left" vertical="top" wrapText="1"/>
    </xf>
    <xf numFmtId="181" fontId="23" fillId="29" borderId="0" xfId="47" applyFont="1" applyFill="1" applyBorder="1" applyAlignment="1" applyProtection="1">
      <alignment horizontal="left" vertical="center" wrapText="1"/>
    </xf>
    <xf numFmtId="0" fontId="65" fillId="0" borderId="125" xfId="0" applyFont="1" applyBorder="1" applyAlignment="1">
      <alignment vertical="center"/>
    </xf>
    <xf numFmtId="181" fontId="15" fillId="24" borderId="125" xfId="47" applyFont="1" applyFill="1" applyBorder="1" applyAlignment="1" applyProtection="1">
      <alignment horizontal="center" vertical="center"/>
    </xf>
    <xf numFmtId="181" fontId="15" fillId="24" borderId="0" xfId="47" applyFont="1" applyFill="1" applyBorder="1" applyAlignment="1" applyProtection="1">
      <alignment horizontal="center" vertical="center"/>
    </xf>
    <xf numFmtId="0" fontId="65" fillId="0" borderId="0" xfId="47" applyNumberFormat="1" applyFont="1" applyAlignment="1" applyProtection="1">
      <alignment horizontal="center" vertical="center" wrapText="1"/>
    </xf>
    <xf numFmtId="181" fontId="15" fillId="0" borderId="0" xfId="47" applyFont="1" applyFill="1" applyBorder="1" applyAlignment="1" applyProtection="1">
      <alignment vertical="center"/>
    </xf>
    <xf numFmtId="3" fontId="30" fillId="0" borderId="70" xfId="36" applyNumberFormat="1" applyFont="1" applyFill="1" applyBorder="1" applyAlignment="1" applyProtection="1">
      <protection locked="0"/>
    </xf>
    <xf numFmtId="0" fontId="6" fillId="0" borderId="151" xfId="36" applyFont="1" applyFill="1" applyBorder="1" applyAlignment="1" applyProtection="1">
      <alignment horizontal="center" vertical="center"/>
    </xf>
    <xf numFmtId="0" fontId="31" fillId="0" borderId="152" xfId="36" applyFont="1" applyBorder="1" applyAlignment="1" applyProtection="1">
      <alignment horizontal="center" vertical="center"/>
    </xf>
    <xf numFmtId="0" fontId="31" fillId="0" borderId="151" xfId="36" applyFont="1" applyBorder="1" applyAlignment="1" applyProtection="1">
      <alignment horizontal="center" vertical="center"/>
    </xf>
    <xf numFmtId="0" fontId="30" fillId="27" borderId="41" xfId="36" applyFont="1" applyFill="1" applyBorder="1" applyProtection="1"/>
    <xf numFmtId="0" fontId="30" fillId="0" borderId="0" xfId="36" applyFont="1" applyProtection="1"/>
    <xf numFmtId="0" fontId="30" fillId="0" borderId="0" xfId="36" applyFont="1" applyAlignment="1" applyProtection="1">
      <alignment horizontal="center" vertical="center"/>
    </xf>
    <xf numFmtId="3" fontId="30" fillId="0" borderId="0" xfId="36" applyNumberFormat="1" applyFont="1" applyAlignment="1" applyProtection="1">
      <alignment vertical="center"/>
    </xf>
    <xf numFmtId="0" fontId="30" fillId="0" borderId="0" xfId="36" applyFont="1" applyAlignment="1" applyProtection="1">
      <alignment vertical="center"/>
    </xf>
    <xf numFmtId="3" fontId="30" fillId="0" borderId="41" xfId="36" applyNumberFormat="1" applyFont="1" applyBorder="1" applyAlignment="1" applyProtection="1"/>
    <xf numFmtId="0" fontId="30" fillId="0" borderId="150" xfId="36" applyBorder="1" applyProtection="1"/>
    <xf numFmtId="181" fontId="15" fillId="26" borderId="125" xfId="48" applyNumberFormat="1" applyFont="1" applyFill="1" applyBorder="1" applyAlignment="1" applyProtection="1">
      <alignment horizontal="centerContinuous" vertical="center"/>
    </xf>
    <xf numFmtId="181" fontId="44" fillId="26" borderId="57" xfId="48" applyNumberFormat="1" applyFont="1" applyFill="1" applyBorder="1" applyAlignment="1" applyProtection="1">
      <alignment horizontal="right" vertical="top"/>
    </xf>
    <xf numFmtId="0" fontId="100" fillId="26" borderId="78" xfId="46" applyFont="1" applyFill="1" applyBorder="1" applyAlignment="1" applyProtection="1">
      <alignment vertical="top"/>
    </xf>
    <xf numFmtId="181" fontId="15" fillId="26" borderId="78" xfId="48" applyNumberFormat="1" applyFont="1" applyFill="1" applyBorder="1" applyAlignment="1" applyProtection="1">
      <alignment vertical="top"/>
    </xf>
    <xf numFmtId="181" fontId="15" fillId="26" borderId="58" xfId="48" applyNumberFormat="1" applyFont="1" applyFill="1" applyBorder="1" applyAlignment="1" applyProtection="1">
      <alignment vertical="top"/>
    </xf>
    <xf numFmtId="181" fontId="47" fillId="28" borderId="35" xfId="48" applyNumberFormat="1" applyFont="1" applyFill="1" applyBorder="1" applyAlignment="1" applyProtection="1">
      <alignment horizontal="center" vertical="center"/>
    </xf>
    <xf numFmtId="181" fontId="44" fillId="26" borderId="78" xfId="48" applyNumberFormat="1" applyFont="1" applyFill="1" applyBorder="1" applyAlignment="1" applyProtection="1">
      <alignment horizontal="right" vertical="top"/>
    </xf>
    <xf numFmtId="0" fontId="140" fillId="0" borderId="0" xfId="39" applyFont="1" applyAlignment="1" applyProtection="1">
      <alignment horizontal="centerContinuous" vertical="center"/>
      <protection hidden="1"/>
    </xf>
    <xf numFmtId="0" fontId="140" fillId="0" borderId="0" xfId="39" applyFont="1" applyAlignment="1" applyProtection="1">
      <alignment horizontal="center" vertical="center"/>
      <protection hidden="1"/>
    </xf>
    <xf numFmtId="0" fontId="11" fillId="0" borderId="35" xfId="39" applyFont="1" applyFill="1" applyBorder="1" applyAlignment="1" applyProtection="1">
      <alignment horizontal="center"/>
    </xf>
    <xf numFmtId="0" fontId="129" fillId="26" borderId="131" xfId="46" applyFont="1" applyFill="1" applyBorder="1" applyAlignment="1" applyProtection="1">
      <alignment horizontal="centerContinuous" readingOrder="1"/>
    </xf>
    <xf numFmtId="181" fontId="44" fillId="0" borderId="0" xfId="48" applyNumberFormat="1" applyAlignment="1" applyProtection="1">
      <alignment vertical="center"/>
    </xf>
    <xf numFmtId="206" fontId="44" fillId="0" borderId="0" xfId="48" applyNumberFormat="1" applyFont="1" applyAlignment="1" applyProtection="1">
      <alignment horizontal="center" vertical="center" wrapText="1"/>
    </xf>
    <xf numFmtId="181" fontId="44" fillId="0" borderId="0" xfId="48" applyNumberFormat="1" applyFont="1" applyAlignment="1" applyProtection="1">
      <alignment horizontal="center" vertical="center"/>
    </xf>
    <xf numFmtId="0" fontId="129" fillId="26" borderId="0" xfId="46" applyFont="1" applyFill="1" applyBorder="1" applyAlignment="1" applyProtection="1">
      <alignment horizontal="centerContinuous" readingOrder="1"/>
    </xf>
    <xf numFmtId="206" fontId="44" fillId="0" borderId="0" xfId="48" applyNumberFormat="1" applyFont="1" applyAlignment="1" applyProtection="1">
      <alignment vertical="center"/>
    </xf>
    <xf numFmtId="206" fontId="44" fillId="0" borderId="0" xfId="48" applyNumberFormat="1" applyFont="1" applyFill="1" applyAlignment="1" applyProtection="1">
      <alignment horizontal="center" vertical="center"/>
    </xf>
    <xf numFmtId="181" fontId="51" fillId="26" borderId="78" xfId="48" applyNumberFormat="1" applyFont="1" applyFill="1" applyBorder="1" applyAlignment="1" applyProtection="1">
      <alignment horizontal="right" vertical="top"/>
    </xf>
    <xf numFmtId="181" fontId="44" fillId="0" borderId="0" xfId="48" applyNumberFormat="1" applyAlignment="1" applyProtection="1">
      <alignment vertical="top"/>
    </xf>
    <xf numFmtId="181" fontId="44" fillId="0" borderId="0" xfId="48" applyNumberFormat="1" applyFont="1" applyAlignment="1" applyProtection="1">
      <alignment horizontal="right" vertical="center"/>
    </xf>
    <xf numFmtId="181" fontId="51" fillId="0" borderId="0" xfId="48" applyNumberFormat="1" applyFont="1" applyAlignment="1" applyProtection="1">
      <alignment horizontal="right" vertical="center"/>
    </xf>
    <xf numFmtId="181" fontId="15" fillId="0" borderId="0" xfId="48" applyNumberFormat="1" applyFont="1" applyAlignment="1" applyProtection="1">
      <alignment vertical="center"/>
    </xf>
    <xf numFmtId="181" fontId="15" fillId="0" borderId="0" xfId="48" applyNumberFormat="1" applyFont="1" applyFill="1" applyAlignment="1" applyProtection="1">
      <alignment horizontal="center" vertical="center"/>
    </xf>
    <xf numFmtId="181" fontId="51" fillId="0" borderId="0" xfId="48" applyNumberFormat="1" applyFont="1" applyAlignment="1" applyProtection="1">
      <alignment vertical="center"/>
    </xf>
    <xf numFmtId="181" fontId="61" fillId="0" borderId="0" xfId="48" applyNumberFormat="1" applyFont="1" applyAlignment="1" applyProtection="1">
      <alignment horizontal="left" vertical="center"/>
    </xf>
    <xf numFmtId="181" fontId="44" fillId="0" borderId="0" xfId="48" applyNumberFormat="1" applyFill="1" applyAlignment="1" applyProtection="1">
      <alignment horizontal="center" vertical="center"/>
    </xf>
    <xf numFmtId="181" fontId="61" fillId="0" borderId="0" xfId="48" applyNumberFormat="1" applyFont="1" applyAlignment="1" applyProtection="1">
      <alignment horizontal="centerContinuous" vertical="center"/>
    </xf>
    <xf numFmtId="181" fontId="6" fillId="0" borderId="0" xfId="48" applyNumberFormat="1" applyFont="1" applyAlignment="1" applyProtection="1">
      <alignment horizontal="centerContinuous" vertical="center"/>
    </xf>
    <xf numFmtId="181" fontId="46" fillId="0" borderId="0" xfId="48" applyNumberFormat="1" applyFont="1" applyAlignment="1" applyProtection="1">
      <alignment horizontal="centerContinuous" vertical="center"/>
    </xf>
    <xf numFmtId="181" fontId="45" fillId="0" borderId="0" xfId="48" applyNumberFormat="1" applyFont="1" applyAlignment="1" applyProtection="1">
      <alignment horizontal="centerContinuous" vertical="center"/>
    </xf>
    <xf numFmtId="181" fontId="45" fillId="0" borderId="0" xfId="48" applyNumberFormat="1" applyFont="1" applyAlignment="1" applyProtection="1">
      <alignment vertical="center"/>
    </xf>
    <xf numFmtId="181" fontId="45" fillId="0" borderId="0" xfId="48" applyNumberFormat="1" applyFont="1" applyFill="1" applyAlignment="1" applyProtection="1">
      <alignment horizontal="center" vertical="center"/>
    </xf>
    <xf numFmtId="181" fontId="45" fillId="0" borderId="0" xfId="48" applyNumberFormat="1" applyFont="1" applyAlignment="1" applyProtection="1">
      <alignment horizontal="right" vertical="center"/>
    </xf>
    <xf numFmtId="181" fontId="49" fillId="0" borderId="0" xfId="48" applyNumberFormat="1" applyFont="1" applyAlignment="1" applyProtection="1">
      <alignment horizontal="right" vertical="center"/>
    </xf>
    <xf numFmtId="181" fontId="46" fillId="0" borderId="0" xfId="48" applyNumberFormat="1" applyFont="1" applyAlignment="1" applyProtection="1">
      <alignment vertical="center"/>
    </xf>
    <xf numFmtId="181" fontId="47" fillId="0" borderId="0" xfId="48" applyNumberFormat="1" applyFont="1" applyFill="1" applyBorder="1" applyAlignment="1" applyProtection="1">
      <alignment horizontal="center" vertical="center" wrapText="1"/>
    </xf>
    <xf numFmtId="181" fontId="51" fillId="0" borderId="0" xfId="48" applyNumberFormat="1" applyFont="1" applyBorder="1" applyAlignment="1" applyProtection="1">
      <alignment horizontal="right" vertical="center"/>
    </xf>
    <xf numFmtId="14" fontId="45" fillId="0" borderId="0" xfId="48" applyNumberFormat="1" applyFont="1" applyAlignment="1" applyProtection="1">
      <alignment vertical="center"/>
    </xf>
    <xf numFmtId="181" fontId="57" fillId="0" borderId="0" xfId="48" applyNumberFormat="1" applyFont="1" applyBorder="1" applyAlignment="1" applyProtection="1">
      <alignment horizontal="right" vertical="center"/>
    </xf>
    <xf numFmtId="181" fontId="47" fillId="0" borderId="0" xfId="48" applyNumberFormat="1" applyFont="1" applyFill="1" applyBorder="1" applyAlignment="1" applyProtection="1">
      <alignment horizontal="left" vertical="center"/>
    </xf>
    <xf numFmtId="181" fontId="47" fillId="0" borderId="0" xfId="48" applyNumberFormat="1" applyFont="1" applyFill="1" applyBorder="1" applyAlignment="1" applyProtection="1">
      <alignment vertical="center"/>
    </xf>
    <xf numFmtId="181" fontId="47" fillId="0" borderId="0" xfId="48" applyNumberFormat="1" applyFont="1" applyFill="1" applyBorder="1" applyAlignment="1" applyProtection="1">
      <alignment horizontal="center" vertical="center"/>
    </xf>
    <xf numFmtId="181" fontId="45" fillId="0" borderId="0" xfId="48" applyNumberFormat="1" applyFont="1" applyAlignment="1" applyProtection="1">
      <alignment horizontal="center" vertical="center"/>
    </xf>
    <xf numFmtId="0" fontId="148" fillId="0" borderId="0" xfId="39" applyFont="1" applyFill="1" applyAlignment="1">
      <alignment horizontal="center" vertical="center"/>
    </xf>
    <xf numFmtId="0" fontId="149" fillId="0" borderId="0" xfId="39" applyFont="1" applyFill="1" applyAlignment="1">
      <alignment horizontal="center" vertical="center"/>
    </xf>
    <xf numFmtId="0" fontId="150" fillId="0" borderId="0" xfId="39" applyFont="1" applyFill="1" applyAlignment="1">
      <alignment horizontal="center" vertical="center"/>
    </xf>
    <xf numFmtId="0" fontId="151" fillId="0" borderId="0" xfId="39" applyFont="1" applyFill="1" applyAlignment="1">
      <alignment horizontal="center" vertical="center"/>
    </xf>
    <xf numFmtId="0" fontId="152" fillId="0" borderId="0" xfId="39" applyFont="1" applyAlignment="1">
      <alignment wrapText="1"/>
    </xf>
    <xf numFmtId="0" fontId="148" fillId="0" borderId="0" xfId="39" applyFont="1" applyAlignment="1">
      <alignment horizontal="center" vertical="center"/>
    </xf>
    <xf numFmtId="0" fontId="153" fillId="0" borderId="0" xfId="39" applyFont="1" applyAlignment="1">
      <alignment horizontal="center" vertical="center" wrapText="1"/>
    </xf>
    <xf numFmtId="0" fontId="152" fillId="0" borderId="0" xfId="39" applyFont="1"/>
    <xf numFmtId="0" fontId="152" fillId="0" borderId="0" xfId="39" applyFont="1" applyAlignment="1">
      <alignment vertical="center" wrapText="1"/>
    </xf>
    <xf numFmtId="0" fontId="152" fillId="0" borderId="0" xfId="39" applyFont="1" applyAlignment="1">
      <alignment vertical="center"/>
    </xf>
    <xf numFmtId="0" fontId="152" fillId="0" borderId="0" xfId="39" applyFont="1" applyFill="1" applyAlignment="1">
      <alignment horizontal="center" vertical="center"/>
    </xf>
    <xf numFmtId="0" fontId="154" fillId="0" borderId="0" xfId="39" applyFont="1" applyAlignment="1">
      <alignment horizontal="center" vertical="center" wrapText="1"/>
    </xf>
    <xf numFmtId="0" fontId="155" fillId="0" borderId="0" xfId="39" applyFont="1" applyAlignment="1">
      <alignment vertical="center" wrapText="1"/>
    </xf>
    <xf numFmtId="0" fontId="149" fillId="0" borderId="0" xfId="39" applyFont="1" applyAlignment="1">
      <alignment vertical="center" wrapText="1"/>
    </xf>
    <xf numFmtId="0" fontId="151" fillId="0" borderId="0" xfId="39" applyFont="1" applyAlignment="1">
      <alignment vertical="center"/>
    </xf>
    <xf numFmtId="0" fontId="156" fillId="0" borderId="0" xfId="39" applyFont="1" applyAlignment="1">
      <alignment horizontal="center" vertical="center"/>
    </xf>
    <xf numFmtId="0" fontId="149" fillId="0" borderId="0" xfId="39" applyFont="1" applyAlignment="1">
      <alignment horizontal="center" vertical="center"/>
    </xf>
    <xf numFmtId="0" fontId="151" fillId="0" borderId="35" xfId="39" applyFont="1" applyBorder="1" applyAlignment="1" applyProtection="1">
      <alignment horizontal="center" vertical="center" wrapText="1"/>
      <protection locked="0"/>
    </xf>
    <xf numFmtId="0" fontId="157" fillId="0" borderId="0" xfId="39" applyFont="1" applyAlignment="1" applyProtection="1">
      <alignment vertical="center" wrapText="1"/>
    </xf>
    <xf numFmtId="0" fontId="152" fillId="0" borderId="0" xfId="39" applyFont="1" applyAlignment="1" applyProtection="1">
      <alignment horizontal="center" vertical="center"/>
      <protection hidden="1"/>
    </xf>
    <xf numFmtId="0" fontId="152" fillId="0" borderId="0" xfId="39" applyFont="1" applyFill="1" applyAlignment="1" applyProtection="1">
      <alignment horizontal="center" vertical="center"/>
      <protection hidden="1"/>
    </xf>
    <xf numFmtId="0" fontId="149" fillId="0" borderId="0" xfId="39" applyFont="1" applyAlignment="1">
      <alignment horizontal="center" vertical="center" wrapText="1"/>
    </xf>
    <xf numFmtId="0" fontId="151" fillId="0" borderId="0" xfId="39" applyFont="1" applyAlignment="1">
      <alignment horizontal="center" vertical="center"/>
    </xf>
    <xf numFmtId="14" fontId="151" fillId="0" borderId="35" xfId="36" applyNumberFormat="1" applyFont="1" applyBorder="1" applyAlignment="1" applyProtection="1">
      <alignment horizontal="center" vertical="center" wrapText="1"/>
      <protection locked="0"/>
    </xf>
    <xf numFmtId="0" fontId="152" fillId="0" borderId="0" xfId="39" applyNumberFormat="1" applyFont="1" applyFill="1" applyAlignment="1" applyProtection="1">
      <alignment horizontal="center" vertical="center"/>
      <protection hidden="1"/>
    </xf>
    <xf numFmtId="3" fontId="151" fillId="0" borderId="35" xfId="39" applyNumberFormat="1" applyFont="1" applyBorder="1" applyAlignment="1" applyProtection="1">
      <alignment horizontal="center" vertical="center" wrapText="1"/>
      <protection locked="0"/>
    </xf>
    <xf numFmtId="0" fontId="155" fillId="0" borderId="0" xfId="39" applyFont="1" applyAlignment="1">
      <alignment horizontal="center" vertical="center" wrapText="1"/>
    </xf>
    <xf numFmtId="10" fontId="151" fillId="0" borderId="35" xfId="39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39" applyFont="1" applyAlignment="1">
      <alignment vertical="center" wrapText="1"/>
    </xf>
    <xf numFmtId="0" fontId="4" fillId="0" borderId="0" xfId="39" applyFont="1" applyAlignment="1">
      <alignment horizontal="center" vertical="center"/>
    </xf>
    <xf numFmtId="0" fontId="15" fillId="0" borderId="0" xfId="39" applyFont="1" applyAlignment="1">
      <alignment horizontal="center" vertical="center" wrapText="1"/>
    </xf>
    <xf numFmtId="0" fontId="26" fillId="0" borderId="0" xfId="39" applyFont="1" applyAlignment="1">
      <alignment vertical="center" wrapText="1"/>
    </xf>
    <xf numFmtId="0" fontId="28" fillId="0" borderId="0" xfId="39" applyFont="1" applyAlignment="1">
      <alignment horizontal="center" vertical="center"/>
    </xf>
    <xf numFmtId="0" fontId="158" fillId="0" borderId="0" xfId="39" applyFont="1" applyAlignment="1">
      <alignment horizontal="center" vertical="center"/>
    </xf>
    <xf numFmtId="0" fontId="26" fillId="0" borderId="0" xfId="39" applyFont="1" applyFill="1" applyAlignment="1">
      <alignment vertical="center" wrapText="1"/>
    </xf>
    <xf numFmtId="0" fontId="155" fillId="0" borderId="0" xfId="39" applyFont="1" applyBorder="1" applyAlignment="1">
      <alignment vertical="center"/>
    </xf>
    <xf numFmtId="0" fontId="149" fillId="0" borderId="0" xfId="39" applyFont="1" applyAlignment="1">
      <alignment vertical="center"/>
    </xf>
    <xf numFmtId="0" fontId="154" fillId="0" borderId="0" xfId="39" applyFont="1" applyAlignment="1">
      <alignment vertical="center"/>
    </xf>
    <xf numFmtId="0" fontId="151" fillId="0" borderId="0" xfId="39" applyFont="1" applyAlignment="1">
      <alignment vertical="center" wrapText="1"/>
    </xf>
    <xf numFmtId="0" fontId="154" fillId="0" borderId="0" xfId="39" applyFont="1" applyAlignment="1">
      <alignment horizontal="center" vertical="center"/>
    </xf>
    <xf numFmtId="0" fontId="149" fillId="0" borderId="0" xfId="39" applyFont="1" applyBorder="1" applyAlignment="1">
      <alignment vertical="center"/>
    </xf>
    <xf numFmtId="0" fontId="152" fillId="0" borderId="0" xfId="36" applyFont="1" applyAlignment="1">
      <alignment horizontal="center" vertical="center"/>
    </xf>
    <xf numFmtId="0" fontId="154" fillId="0" borderId="0" xfId="39" applyFont="1"/>
    <xf numFmtId="0" fontId="149" fillId="0" borderId="0" xfId="39" applyFont="1"/>
    <xf numFmtId="0" fontId="151" fillId="0" borderId="0" xfId="39" applyFont="1"/>
    <xf numFmtId="206" fontId="44" fillId="0" borderId="0" xfId="48" applyNumberFormat="1" applyFont="1" applyAlignment="1" applyProtection="1">
      <alignment vertical="center" wrapText="1"/>
    </xf>
    <xf numFmtId="14" fontId="44" fillId="0" borderId="0" xfId="48" applyNumberFormat="1" applyAlignment="1" applyProtection="1">
      <alignment vertical="top"/>
    </xf>
    <xf numFmtId="0" fontId="152" fillId="0" borderId="0" xfId="39" applyFont="1" applyAlignment="1" applyProtection="1">
      <alignment vertical="center"/>
      <protection hidden="1"/>
    </xf>
    <xf numFmtId="0" fontId="159" fillId="0" borderId="0" xfId="39" applyFont="1" applyAlignment="1" applyProtection="1">
      <alignment vertical="center" wrapText="1"/>
    </xf>
    <xf numFmtId="0" fontId="160" fillId="0" borderId="0" xfId="39" applyFont="1" applyAlignment="1">
      <alignment vertical="center" wrapText="1"/>
    </xf>
    <xf numFmtId="3" fontId="151" fillId="0" borderId="35" xfId="39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9" applyFont="1" applyFill="1" applyAlignment="1">
      <alignment horizontal="center" vertical="center"/>
    </xf>
    <xf numFmtId="181" fontId="161" fillId="0" borderId="0" xfId="47" applyFont="1" applyAlignment="1" applyProtection="1">
      <alignment vertical="center"/>
    </xf>
    <xf numFmtId="181" fontId="144" fillId="0" borderId="0" xfId="47" applyFont="1" applyAlignment="1" applyProtection="1">
      <alignment vertical="center"/>
    </xf>
    <xf numFmtId="181" fontId="161" fillId="0" borderId="0" xfId="47" applyFont="1" applyAlignment="1">
      <alignment vertical="center"/>
    </xf>
    <xf numFmtId="181" fontId="161" fillId="0" borderId="0" xfId="47" applyFont="1" applyAlignment="1">
      <alignment horizontal="center" vertical="center"/>
    </xf>
    <xf numFmtId="0" fontId="159" fillId="0" borderId="0" xfId="39" applyFont="1" applyAlignment="1">
      <alignment vertical="center" wrapText="1"/>
    </xf>
    <xf numFmtId="2" fontId="3" fillId="0" borderId="35" xfId="32" applyNumberFormat="1" applyFont="1" applyBorder="1" applyAlignment="1"/>
    <xf numFmtId="181" fontId="15" fillId="24" borderId="23" xfId="47" applyFont="1" applyFill="1" applyBorder="1" applyAlignment="1" applyProtection="1">
      <alignment vertical="center"/>
    </xf>
    <xf numFmtId="0" fontId="14" fillId="0" borderId="42" xfId="0" applyFont="1" applyFill="1" applyBorder="1" applyAlignment="1" applyProtection="1">
      <alignment horizontal="centerContinuous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Continuous" vertical="center" wrapText="1"/>
    </xf>
    <xf numFmtId="181" fontId="23" fillId="29" borderId="0" xfId="47" applyFont="1" applyFill="1" applyBorder="1" applyAlignment="1" applyProtection="1">
      <alignment horizontal="left" vertical="center" wrapText="1"/>
    </xf>
    <xf numFmtId="3" fontId="15" fillId="0" borderId="62" xfId="0" applyNumberFormat="1" applyFont="1" applyFill="1" applyBorder="1" applyAlignment="1" applyProtection="1">
      <alignment vertical="center"/>
    </xf>
    <xf numFmtId="0" fontId="13" fillId="31" borderId="0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/>
    <xf numFmtId="0" fontId="29" fillId="0" borderId="0" xfId="0" applyFont="1" applyBorder="1" applyProtection="1"/>
    <xf numFmtId="0" fontId="25" fillId="0" borderId="0" xfId="0" applyFont="1" applyBorder="1" applyAlignment="1" applyProtection="1"/>
    <xf numFmtId="0" fontId="13" fillId="31" borderId="153" xfId="0" applyFont="1" applyFill="1" applyBorder="1" applyAlignment="1" applyProtection="1">
      <alignment horizontal="center" vertical="center" wrapText="1"/>
    </xf>
    <xf numFmtId="0" fontId="13" fillId="31" borderId="131" xfId="0" applyFont="1" applyFill="1" applyBorder="1" applyAlignment="1" applyProtection="1">
      <alignment horizontal="center" vertical="center" wrapText="1"/>
    </xf>
    <xf numFmtId="0" fontId="29" fillId="0" borderId="131" xfId="0" applyFont="1" applyBorder="1" applyAlignment="1" applyProtection="1"/>
    <xf numFmtId="0" fontId="29" fillId="0" borderId="131" xfId="0" applyFont="1" applyBorder="1" applyProtection="1"/>
    <xf numFmtId="0" fontId="13" fillId="31" borderId="23" xfId="0" applyFont="1" applyFill="1" applyBorder="1" applyAlignment="1" applyProtection="1">
      <alignment horizontal="center" vertical="center" wrapText="1"/>
    </xf>
    <xf numFmtId="0" fontId="13" fillId="31" borderId="57" xfId="0" applyFont="1" applyFill="1" applyBorder="1" applyAlignment="1" applyProtection="1">
      <alignment horizontal="center" vertical="center" wrapText="1"/>
    </xf>
    <xf numFmtId="0" fontId="13" fillId="31" borderId="78" xfId="0" applyFont="1" applyFill="1" applyBorder="1" applyAlignment="1" applyProtection="1">
      <alignment horizontal="center" vertical="center" wrapText="1"/>
    </xf>
    <xf numFmtId="0" fontId="29" fillId="0" borderId="78" xfId="0" applyFont="1" applyBorder="1" applyAlignment="1" applyProtection="1"/>
    <xf numFmtId="0" fontId="29" fillId="0" borderId="78" xfId="0" applyFont="1" applyBorder="1" applyProtection="1"/>
    <xf numFmtId="3" fontId="15" fillId="0" borderId="55" xfId="0" applyNumberFormat="1" applyFont="1" applyFill="1" applyBorder="1" applyProtection="1">
      <protection locked="0"/>
    </xf>
    <xf numFmtId="0" fontId="15" fillId="0" borderId="128" xfId="0" applyNumberFormat="1" applyFont="1" applyFill="1" applyBorder="1" applyAlignment="1" applyProtection="1">
      <alignment wrapText="1"/>
      <protection locked="0"/>
    </xf>
    <xf numFmtId="0" fontId="25" fillId="0" borderId="131" xfId="0" applyFont="1" applyBorder="1" applyAlignment="1" applyProtection="1"/>
    <xf numFmtId="0" fontId="0" fillId="0" borderId="78" xfId="0" applyBorder="1" applyAlignment="1" applyProtection="1"/>
    <xf numFmtId="0" fontId="0" fillId="0" borderId="78" xfId="0" applyFont="1" applyBorder="1" applyProtection="1"/>
    <xf numFmtId="0" fontId="15" fillId="0" borderId="35" xfId="0" applyNumberFormat="1" applyFont="1" applyFill="1" applyBorder="1" applyAlignment="1" applyProtection="1">
      <alignment wrapText="1"/>
      <protection locked="0"/>
    </xf>
    <xf numFmtId="0" fontId="29" fillId="0" borderId="35" xfId="0" applyFont="1" applyBorder="1" applyAlignment="1" applyProtection="1"/>
    <xf numFmtId="3" fontId="15" fillId="0" borderId="21" xfId="0" applyNumberFormat="1" applyFont="1" applyFill="1" applyBorder="1" applyProtection="1">
      <protection locked="0"/>
    </xf>
    <xf numFmtId="0" fontId="29" fillId="0" borderId="62" xfId="0" applyFont="1" applyBorder="1" applyProtection="1"/>
    <xf numFmtId="0" fontId="13" fillId="31" borderId="48" xfId="0" applyFont="1" applyFill="1" applyBorder="1" applyAlignment="1" applyProtection="1">
      <alignment horizontal="center" vertical="center" wrapText="1"/>
    </xf>
    <xf numFmtId="3" fontId="15" fillId="0" borderId="48" xfId="0" applyNumberFormat="1" applyFont="1" applyFill="1" applyBorder="1" applyProtection="1">
      <protection locked="0"/>
    </xf>
    <xf numFmtId="3" fontId="15" fillId="0" borderId="56" xfId="0" applyNumberFormat="1" applyFont="1" applyFill="1" applyBorder="1" applyProtection="1">
      <protection locked="0"/>
    </xf>
    <xf numFmtId="0" fontId="15" fillId="0" borderId="41" xfId="0" applyNumberFormat="1" applyFont="1" applyFill="1" applyBorder="1" applyAlignment="1" applyProtection="1">
      <alignment wrapText="1"/>
      <protection locked="0"/>
    </xf>
    <xf numFmtId="3" fontId="15" fillId="0" borderId="144" xfId="0" applyNumberFormat="1" applyFont="1" applyFill="1" applyBorder="1" applyProtection="1">
      <protection locked="0"/>
    </xf>
    <xf numFmtId="0" fontId="0" fillId="0" borderId="131" xfId="0" applyFont="1" applyBorder="1" applyProtection="1"/>
    <xf numFmtId="0" fontId="25" fillId="0" borderId="78" xfId="0" applyFont="1" applyBorder="1" applyAlignment="1" applyProtection="1"/>
    <xf numFmtId="3" fontId="15" fillId="0" borderId="87" xfId="0" applyNumberFormat="1" applyFont="1" applyFill="1" applyBorder="1" applyProtection="1">
      <protection locked="0"/>
    </xf>
    <xf numFmtId="0" fontId="13" fillId="31" borderId="144" xfId="0" applyFont="1" applyFill="1" applyBorder="1" applyAlignment="1" applyProtection="1">
      <alignment horizontal="center" vertical="center" wrapText="1"/>
    </xf>
    <xf numFmtId="0" fontId="13" fillId="31" borderId="87" xfId="0" applyFont="1" applyFill="1" applyBorder="1" applyAlignment="1" applyProtection="1">
      <alignment horizontal="center" vertical="center" wrapText="1"/>
    </xf>
    <xf numFmtId="0" fontId="13" fillId="31" borderId="21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/>
    <xf numFmtId="181" fontId="57" fillId="24" borderId="0" xfId="47" applyFont="1" applyFill="1" applyAlignment="1" applyProtection="1">
      <alignment horizontal="right" vertical="center"/>
    </xf>
    <xf numFmtId="0" fontId="112" fillId="0" borderId="39" xfId="36" applyFont="1" applyFill="1" applyBorder="1" applyAlignment="1" applyProtection="1">
      <alignment horizontal="left" vertical="top"/>
    </xf>
    <xf numFmtId="0" fontId="109" fillId="0" borderId="148" xfId="36" applyFont="1" applyFill="1" applyBorder="1" applyAlignment="1" applyProtection="1">
      <alignment horizontal="left" vertical="center"/>
    </xf>
    <xf numFmtId="0" fontId="109" fillId="0" borderId="40" xfId="36" applyFont="1" applyFill="1" applyBorder="1" applyAlignment="1" applyProtection="1">
      <alignment horizontal="right"/>
    </xf>
    <xf numFmtId="0" fontId="5" fillId="0" borderId="59" xfId="36" applyFont="1" applyFill="1" applyBorder="1" applyAlignment="1" applyProtection="1"/>
    <xf numFmtId="208" fontId="6" fillId="0" borderId="70" xfId="36" applyNumberFormat="1" applyFont="1" applyFill="1" applyBorder="1" applyAlignment="1" applyProtection="1">
      <alignment vertical="center"/>
    </xf>
    <xf numFmtId="0" fontId="5" fillId="0" borderId="148" xfId="36" applyFont="1" applyFill="1" applyBorder="1" applyAlignment="1" applyProtection="1">
      <alignment horizontal="center"/>
    </xf>
    <xf numFmtId="0" fontId="109" fillId="0" borderId="0" xfId="36" applyFont="1" applyFill="1" applyBorder="1" applyAlignment="1" applyProtection="1">
      <alignment horizontal="right"/>
    </xf>
    <xf numFmtId="0" fontId="5" fillId="0" borderId="0" xfId="36" applyFont="1" applyFill="1" applyBorder="1" applyAlignment="1" applyProtection="1"/>
    <xf numFmtId="208" fontId="6" fillId="0" borderId="76" xfId="36" applyNumberFormat="1" applyFont="1" applyFill="1" applyBorder="1" applyAlignment="1" applyProtection="1">
      <alignment vertical="center"/>
    </xf>
    <xf numFmtId="0" fontId="30" fillId="0" borderId="111" xfId="36" applyBorder="1" applyProtection="1"/>
    <xf numFmtId="0" fontId="30" fillId="0" borderId="111" xfId="36" applyBorder="1" applyAlignment="1" applyProtection="1">
      <alignment horizontal="center"/>
    </xf>
    <xf numFmtId="0" fontId="6" fillId="0" borderId="16" xfId="36" applyFont="1" applyFill="1" applyBorder="1" applyAlignment="1" applyProtection="1">
      <alignment horizontal="center" vertical="center"/>
    </xf>
    <xf numFmtId="0" fontId="6" fillId="0" borderId="126" xfId="36" applyFont="1" applyFill="1" applyBorder="1" applyAlignment="1" applyProtection="1">
      <alignment horizontal="center" vertical="center"/>
    </xf>
    <xf numFmtId="0" fontId="30" fillId="0" borderId="0" xfId="36" applyFill="1" applyBorder="1" applyAlignment="1" applyProtection="1">
      <alignment vertical="center"/>
    </xf>
    <xf numFmtId="3" fontId="162" fillId="0" borderId="70" xfId="36" applyNumberFormat="1" applyFont="1" applyBorder="1" applyAlignment="1" applyProtection="1">
      <protection locked="0"/>
    </xf>
    <xf numFmtId="0" fontId="30" fillId="0" borderId="0" xfId="36" applyFill="1" applyBorder="1" applyAlignment="1" applyProtection="1">
      <alignment horizontal="center" vertical="center"/>
    </xf>
    <xf numFmtId="0" fontId="152" fillId="0" borderId="0" xfId="39" applyFont="1" applyFill="1" applyAlignment="1">
      <alignment vertical="center"/>
    </xf>
    <xf numFmtId="0" fontId="157" fillId="0" borderId="0" xfId="39" applyFont="1" applyFill="1" applyAlignment="1" applyProtection="1">
      <alignment vertical="center" wrapText="1"/>
    </xf>
    <xf numFmtId="0" fontId="156" fillId="0" borderId="0" xfId="39" applyFont="1" applyFill="1" applyAlignment="1">
      <alignment horizontal="center" vertical="center"/>
    </xf>
    <xf numFmtId="0" fontId="149" fillId="0" borderId="0" xfId="39" applyFont="1" applyFill="1" applyAlignment="1">
      <alignment horizontal="center" vertical="center" wrapText="1"/>
    </xf>
    <xf numFmtId="0" fontId="155" fillId="0" borderId="0" xfId="39" applyFont="1" applyFill="1" applyAlignment="1">
      <alignment vertical="center" wrapText="1"/>
    </xf>
    <xf numFmtId="0" fontId="152" fillId="0" borderId="0" xfId="39" applyFont="1" applyFill="1" applyAlignment="1">
      <alignment vertical="center" wrapText="1"/>
    </xf>
    <xf numFmtId="0" fontId="154" fillId="0" borderId="0" xfId="39" applyFont="1" applyFill="1" applyAlignment="1">
      <alignment horizontal="center" vertical="center" wrapText="1"/>
    </xf>
    <xf numFmtId="181" fontId="23" fillId="0" borderId="0" xfId="47" applyFont="1" applyAlignment="1" applyProtection="1">
      <alignment horizontal="left" vertical="center" wrapText="1"/>
    </xf>
    <xf numFmtId="181" fontId="163" fillId="0" borderId="0" xfId="47" applyFont="1" applyAlignment="1" applyProtection="1">
      <alignment vertical="center"/>
    </xf>
    <xf numFmtId="181" fontId="164" fillId="0" borderId="0" xfId="47" applyFont="1" applyAlignment="1" applyProtection="1">
      <alignment vertical="center"/>
    </xf>
    <xf numFmtId="181" fontId="163" fillId="0" borderId="0" xfId="47" applyFont="1" applyAlignment="1">
      <alignment vertical="center"/>
    </xf>
    <xf numFmtId="14" fontId="151" fillId="0" borderId="0" xfId="36" applyNumberFormat="1" applyFont="1" applyBorder="1" applyAlignment="1" applyProtection="1">
      <alignment horizontal="center" vertical="center" wrapText="1"/>
    </xf>
    <xf numFmtId="0" fontId="6" fillId="0" borderId="152" xfId="36" applyFont="1" applyFill="1" applyBorder="1" applyAlignment="1" applyProtection="1">
      <alignment horizontal="center" vertical="center"/>
    </xf>
    <xf numFmtId="0" fontId="5" fillId="0" borderId="151" xfId="36" applyFont="1" applyFill="1" applyBorder="1" applyAlignment="1" applyProtection="1"/>
    <xf numFmtId="0" fontId="159" fillId="0" borderId="0" xfId="43" applyFont="1" applyAlignment="1" applyProtection="1">
      <alignment vertical="center" wrapText="1"/>
    </xf>
    <xf numFmtId="0" fontId="160" fillId="0" borderId="0" xfId="43" applyFont="1" applyAlignment="1">
      <alignment vertical="center" wrapText="1"/>
    </xf>
    <xf numFmtId="181" fontId="9" fillId="0" borderId="0" xfId="47" applyFont="1" applyFill="1" applyAlignment="1" applyProtection="1">
      <alignment horizontal="left" vertical="center" wrapText="1"/>
    </xf>
    <xf numFmtId="181" fontId="9" fillId="0" borderId="125" xfId="47" applyFont="1" applyFill="1" applyBorder="1" applyAlignment="1" applyProtection="1">
      <alignment horizontal="left" vertical="center" wrapText="1"/>
    </xf>
    <xf numFmtId="49" fontId="15" fillId="0" borderId="62" xfId="0" applyNumberFormat="1" applyFont="1" applyBorder="1" applyAlignment="1" applyProtection="1">
      <alignment horizontal="left" vertical="center"/>
      <protection locked="0"/>
    </xf>
    <xf numFmtId="49" fontId="24" fillId="0" borderId="59" xfId="0" applyNumberFormat="1" applyFont="1" applyBorder="1" applyAlignment="1" applyProtection="1">
      <alignment horizontal="left" vertical="center"/>
      <protection locked="0"/>
    </xf>
    <xf numFmtId="49" fontId="15" fillId="0" borderId="62" xfId="47" applyNumberFormat="1" applyFont="1" applyFill="1" applyBorder="1" applyAlignment="1" applyProtection="1">
      <alignment horizontal="left" vertical="center"/>
      <protection locked="0"/>
    </xf>
    <xf numFmtId="49" fontId="15" fillId="0" borderId="59" xfId="47" applyNumberFormat="1" applyFont="1" applyFill="1" applyBorder="1" applyAlignment="1" applyProtection="1">
      <alignment horizontal="left" vertical="center"/>
      <protection locked="0"/>
    </xf>
    <xf numFmtId="49" fontId="15" fillId="0" borderId="62" xfId="47" applyNumberFormat="1" applyFont="1" applyBorder="1" applyAlignment="1" applyProtection="1">
      <alignment horizontal="left" vertical="center"/>
      <protection locked="0"/>
    </xf>
    <xf numFmtId="49" fontId="24" fillId="0" borderId="59" xfId="47" applyNumberFormat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 wrapText="1"/>
    </xf>
    <xf numFmtId="49" fontId="15" fillId="0" borderId="153" xfId="44" applyNumberFormat="1" applyFont="1" applyFill="1" applyBorder="1" applyAlignment="1" applyProtection="1">
      <alignment horizontal="left" vertical="center" wrapText="1"/>
      <protection locked="0"/>
    </xf>
    <xf numFmtId="49" fontId="24" fillId="0" borderId="131" xfId="44" applyNumberFormat="1" applyFont="1" applyFill="1" applyBorder="1" applyAlignment="1" applyProtection="1">
      <alignment horizontal="left" vertical="center" wrapText="1"/>
      <protection locked="0"/>
    </xf>
    <xf numFmtId="49" fontId="24" fillId="0" borderId="83" xfId="44" applyNumberFormat="1" applyFont="1" applyFill="1" applyBorder="1" applyAlignment="1" applyProtection="1">
      <alignment horizontal="left" vertical="center" wrapText="1"/>
      <protection locked="0"/>
    </xf>
    <xf numFmtId="49" fontId="24" fillId="0" borderId="23" xfId="44" applyNumberFormat="1" applyFont="1" applyFill="1" applyBorder="1" applyAlignment="1" applyProtection="1">
      <alignment horizontal="left" vertical="center" wrapText="1"/>
      <protection locked="0"/>
    </xf>
    <xf numFmtId="49" fontId="24" fillId="0" borderId="0" xfId="44" applyNumberFormat="1" applyFont="1" applyFill="1" applyBorder="1" applyAlignment="1" applyProtection="1">
      <alignment horizontal="left" vertical="center" wrapText="1"/>
      <protection locked="0"/>
    </xf>
    <xf numFmtId="49" fontId="24" fillId="0" borderId="125" xfId="44" applyNumberFormat="1" applyFont="1" applyFill="1" applyBorder="1" applyAlignment="1" applyProtection="1">
      <alignment horizontal="left" vertical="center" wrapText="1"/>
      <protection locked="0"/>
    </xf>
    <xf numFmtId="49" fontId="24" fillId="0" borderId="57" xfId="44" applyNumberFormat="1" applyFont="1" applyFill="1" applyBorder="1" applyAlignment="1" applyProtection="1">
      <alignment horizontal="left" vertical="center" wrapText="1"/>
      <protection locked="0"/>
    </xf>
    <xf numFmtId="49" fontId="24" fillId="0" borderId="78" xfId="44" applyNumberFormat="1" applyFont="1" applyFill="1" applyBorder="1" applyAlignment="1" applyProtection="1">
      <alignment horizontal="left" vertical="center" wrapText="1"/>
      <protection locked="0"/>
    </xf>
    <xf numFmtId="49" fontId="24" fillId="0" borderId="58" xfId="44" applyNumberFormat="1" applyFont="1" applyFill="1" applyBorder="1" applyAlignment="1" applyProtection="1">
      <alignment horizontal="left" vertical="center" wrapText="1"/>
      <protection locked="0"/>
    </xf>
    <xf numFmtId="181" fontId="47" fillId="0" borderId="0" xfId="47" applyFont="1" applyFill="1" applyBorder="1" applyAlignment="1" applyProtection="1">
      <alignment horizontal="left" vertical="center"/>
    </xf>
    <xf numFmtId="49" fontId="15" fillId="0" borderId="62" xfId="44" applyNumberFormat="1" applyFont="1" applyFill="1" applyBorder="1" applyAlignment="1" applyProtection="1">
      <alignment horizontal="left" vertical="center"/>
      <protection locked="0"/>
    </xf>
    <xf numFmtId="49" fontId="15" fillId="0" borderId="132" xfId="44" applyNumberFormat="1" applyFont="1" applyFill="1" applyBorder="1" applyAlignment="1" applyProtection="1">
      <alignment horizontal="left" vertical="center"/>
      <protection locked="0"/>
    </xf>
    <xf numFmtId="49" fontId="15" fillId="0" borderId="59" xfId="44" applyNumberFormat="1" applyFont="1" applyFill="1" applyBorder="1" applyAlignment="1" applyProtection="1">
      <alignment horizontal="left" vertical="center"/>
      <protection locked="0"/>
    </xf>
    <xf numFmtId="49" fontId="15" fillId="25" borderId="62" xfId="44" applyNumberFormat="1" applyFont="1" applyFill="1" applyBorder="1" applyAlignment="1" applyProtection="1">
      <alignment horizontal="left" vertical="center"/>
      <protection locked="0"/>
    </xf>
    <xf numFmtId="49" fontId="15" fillId="25" borderId="132" xfId="44" applyNumberFormat="1" applyFont="1" applyFill="1" applyBorder="1" applyAlignment="1" applyProtection="1">
      <alignment horizontal="left" vertical="center"/>
      <protection locked="0"/>
    </xf>
    <xf numFmtId="49" fontId="15" fillId="25" borderId="59" xfId="44" applyNumberFormat="1" applyFont="1" applyFill="1" applyBorder="1" applyAlignment="1" applyProtection="1">
      <alignment horizontal="left" vertical="center"/>
      <protection locked="0"/>
    </xf>
    <xf numFmtId="181" fontId="47" fillId="0" borderId="0" xfId="47" applyFont="1" applyFill="1" applyBorder="1" applyAlignment="1" applyProtection="1">
      <alignment horizontal="center" vertical="center"/>
    </xf>
    <xf numFmtId="0" fontId="106" fillId="26" borderId="62" xfId="0" applyFont="1" applyFill="1" applyBorder="1" applyAlignment="1">
      <alignment horizontal="center" vertical="center" readingOrder="1"/>
    </xf>
    <xf numFmtId="0" fontId="106" fillId="26" borderId="132" xfId="0" applyFont="1" applyFill="1" applyBorder="1" applyAlignment="1">
      <alignment horizontal="center" vertical="center" readingOrder="1"/>
    </xf>
    <xf numFmtId="0" fontId="106" fillId="26" borderId="59" xfId="0" applyFont="1" applyFill="1" applyBorder="1" applyAlignment="1">
      <alignment horizontal="center" vertical="center" readingOrder="1"/>
    </xf>
    <xf numFmtId="49" fontId="126" fillId="0" borderId="62" xfId="22" applyNumberFormat="1" applyFont="1" applyFill="1" applyBorder="1" applyAlignment="1" applyProtection="1">
      <alignment horizontal="left" vertical="center"/>
      <protection locked="0"/>
    </xf>
    <xf numFmtId="49" fontId="4" fillId="0" borderId="132" xfId="44" applyNumberFormat="1" applyFont="1" applyFill="1" applyBorder="1" applyAlignment="1" applyProtection="1">
      <alignment horizontal="left" vertical="center"/>
      <protection locked="0"/>
    </xf>
    <xf numFmtId="49" fontId="4" fillId="0" borderId="59" xfId="44" applyNumberFormat="1" applyFont="1" applyFill="1" applyBorder="1" applyAlignment="1" applyProtection="1">
      <alignment horizontal="left" vertical="center"/>
      <protection locked="0"/>
    </xf>
    <xf numFmtId="181" fontId="23" fillId="0" borderId="0" xfId="47" applyFont="1" applyAlignment="1" applyProtection="1">
      <alignment horizontal="left" vertical="center" wrapText="1"/>
    </xf>
    <xf numFmtId="181" fontId="5" fillId="0" borderId="0" xfId="47" applyFont="1" applyBorder="1" applyAlignment="1" applyProtection="1">
      <alignment horizontal="left" wrapText="1"/>
    </xf>
    <xf numFmtId="181" fontId="22" fillId="0" borderId="0" xfId="47" applyFont="1" applyBorder="1" applyAlignment="1" applyProtection="1">
      <alignment horizontal="left" wrapText="1"/>
    </xf>
    <xf numFmtId="181" fontId="22" fillId="0" borderId="131" xfId="47" applyFont="1" applyBorder="1" applyAlignment="1" applyProtection="1">
      <alignment horizontal="left" wrapText="1"/>
    </xf>
    <xf numFmtId="0" fontId="102" fillId="26" borderId="62" xfId="0" applyFont="1" applyFill="1" applyBorder="1" applyAlignment="1">
      <alignment horizontal="center" vertical="center" wrapText="1" readingOrder="1"/>
    </xf>
    <xf numFmtId="0" fontId="102" fillId="26" borderId="132" xfId="0" applyFont="1" applyFill="1" applyBorder="1" applyAlignment="1">
      <alignment horizontal="center" vertical="center" wrapText="1" readingOrder="1"/>
    </xf>
    <xf numFmtId="0" fontId="102" fillId="26" borderId="59" xfId="0" applyFont="1" applyFill="1" applyBorder="1" applyAlignment="1">
      <alignment horizontal="center" vertical="center" wrapText="1" readingOrder="1"/>
    </xf>
    <xf numFmtId="0" fontId="165" fillId="0" borderId="0" xfId="0" applyFont="1" applyAlignment="1">
      <alignment horizontal="left" vertical="top" wrapText="1"/>
    </xf>
    <xf numFmtId="0" fontId="165" fillId="0" borderId="125" xfId="0" applyFont="1" applyBorder="1" applyAlignment="1">
      <alignment horizontal="left" vertical="top" wrapText="1"/>
    </xf>
    <xf numFmtId="49" fontId="15" fillId="25" borderId="62" xfId="47" applyNumberFormat="1" applyFont="1" applyFill="1" applyBorder="1" applyAlignment="1" applyProtection="1">
      <alignment horizontal="left" vertical="center"/>
      <protection locked="0"/>
    </xf>
    <xf numFmtId="49" fontId="15" fillId="25" borderId="59" xfId="47" applyNumberFormat="1" applyFont="1" applyFill="1" applyBorder="1" applyAlignment="1" applyProtection="1">
      <alignment horizontal="left" vertical="center"/>
      <protection locked="0"/>
    </xf>
    <xf numFmtId="49" fontId="116" fillId="24" borderId="62" xfId="22" applyNumberFormat="1" applyFont="1" applyFill="1" applyBorder="1" applyAlignment="1" applyProtection="1">
      <alignment vertical="center"/>
      <protection locked="0"/>
    </xf>
    <xf numFmtId="49" fontId="15" fillId="24" borderId="132" xfId="0" applyNumberFormat="1" applyFont="1" applyFill="1" applyBorder="1" applyAlignment="1" applyProtection="1">
      <alignment vertical="center"/>
      <protection locked="0"/>
    </xf>
    <xf numFmtId="49" fontId="15" fillId="24" borderId="59" xfId="0" applyNumberFormat="1" applyFont="1" applyFill="1" applyBorder="1" applyAlignment="1" applyProtection="1">
      <alignment vertical="center"/>
      <protection locked="0"/>
    </xf>
    <xf numFmtId="49" fontId="8" fillId="0" borderId="62" xfId="22" applyNumberFormat="1" applyFill="1" applyBorder="1" applyAlignment="1" applyProtection="1">
      <alignment horizontal="left" vertical="center"/>
      <protection locked="0"/>
    </xf>
    <xf numFmtId="181" fontId="74" fillId="24" borderId="0" xfId="47" applyFont="1" applyFill="1" applyAlignment="1" applyProtection="1">
      <alignment horizontal="center" vertical="center" wrapText="1"/>
    </xf>
    <xf numFmtId="181" fontId="75" fillId="24" borderId="56" xfId="47" applyFont="1" applyFill="1" applyBorder="1" applyAlignment="1" applyProtection="1">
      <alignment horizontal="center" vertical="center" wrapText="1"/>
    </xf>
    <xf numFmtId="181" fontId="35" fillId="24" borderId="56" xfId="47" applyFont="1" applyFill="1" applyBorder="1" applyAlignment="1" applyProtection="1">
      <alignment horizontal="center" vertical="center" wrapText="1"/>
    </xf>
    <xf numFmtId="181" fontId="75" fillId="24" borderId="125" xfId="47" applyFont="1" applyFill="1" applyBorder="1" applyAlignment="1" applyProtection="1">
      <alignment horizontal="center" vertical="top" wrapText="1"/>
    </xf>
    <xf numFmtId="0" fontId="0" fillId="0" borderId="125" xfId="0" applyBorder="1" applyAlignment="1">
      <alignment horizontal="center" vertical="top" wrapText="1"/>
    </xf>
    <xf numFmtId="181" fontId="23" fillId="24" borderId="0" xfId="47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181" fontId="65" fillId="24" borderId="23" xfId="47" applyFont="1" applyFill="1" applyBorder="1" applyAlignment="1" applyProtection="1">
      <alignment vertical="center"/>
    </xf>
    <xf numFmtId="0" fontId="65" fillId="0" borderId="125" xfId="0" applyFont="1" applyBorder="1" applyAlignment="1">
      <alignment vertical="center"/>
    </xf>
    <xf numFmtId="181" fontId="72" fillId="24" borderId="23" xfId="47" applyFont="1" applyFill="1" applyBorder="1" applyAlignment="1" applyProtection="1">
      <alignment horizontal="center" vertical="center" wrapText="1"/>
    </xf>
    <xf numFmtId="181" fontId="72" fillId="29" borderId="125" xfId="47" applyFont="1" applyFill="1" applyBorder="1" applyAlignment="1" applyProtection="1">
      <alignment horizontal="center" vertical="center" wrapText="1"/>
    </xf>
    <xf numFmtId="181" fontId="9" fillId="24" borderId="0" xfId="47" applyFont="1" applyFill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181" fontId="23" fillId="29" borderId="0" xfId="47" applyFont="1" applyFill="1" applyBorder="1" applyAlignment="1" applyProtection="1">
      <alignment horizontal="left" vertical="top" wrapText="1"/>
    </xf>
    <xf numFmtId="181" fontId="23" fillId="24" borderId="125" xfId="47" applyFont="1" applyFill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left" vertical="top"/>
    </xf>
    <xf numFmtId="0" fontId="23" fillId="0" borderId="125" xfId="0" applyFont="1" applyBorder="1" applyAlignment="1" applyProtection="1">
      <alignment horizontal="left" vertical="top"/>
    </xf>
    <xf numFmtId="181" fontId="23" fillId="29" borderId="0" xfId="47" applyFont="1" applyFill="1" applyBorder="1" applyAlignment="1" applyProtection="1">
      <alignment horizontal="left" vertical="center" wrapText="1"/>
    </xf>
    <xf numFmtId="181" fontId="23" fillId="29" borderId="125" xfId="47" applyFont="1" applyFill="1" applyBorder="1" applyAlignment="1" applyProtection="1">
      <alignment horizontal="left" vertical="center" wrapText="1"/>
    </xf>
    <xf numFmtId="181" fontId="23" fillId="24" borderId="0" xfId="47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3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23" fillId="0" borderId="0" xfId="0" applyFont="1" applyBorder="1" applyAlignment="1" applyProtection="1">
      <alignment horizontal="left" vertical="top" wrapText="1"/>
    </xf>
    <xf numFmtId="0" fontId="23" fillId="0" borderId="125" xfId="0" applyFont="1" applyBorder="1" applyAlignment="1" applyProtection="1">
      <alignment horizontal="left" vertical="top" wrapText="1"/>
    </xf>
    <xf numFmtId="0" fontId="0" fillId="0" borderId="125" xfId="0" applyBorder="1" applyAlignment="1" applyProtection="1">
      <alignment vertical="center" wrapText="1"/>
    </xf>
    <xf numFmtId="0" fontId="0" fillId="0" borderId="0" xfId="0" applyBorder="1" applyAlignment="1" applyProtection="1">
      <alignment vertical="top" wrapText="1"/>
    </xf>
    <xf numFmtId="0" fontId="0" fillId="0" borderId="125" xfId="0" applyBorder="1" applyAlignment="1" applyProtection="1">
      <alignment vertical="top" wrapText="1"/>
    </xf>
    <xf numFmtId="181" fontId="23" fillId="24" borderId="0" xfId="47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125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125" xfId="0" applyBorder="1" applyAlignment="1">
      <alignment wrapText="1"/>
    </xf>
    <xf numFmtId="181" fontId="65" fillId="24" borderId="23" xfId="22" applyNumberFormat="1" applyFont="1" applyFill="1" applyBorder="1" applyAlignment="1" applyProtection="1">
      <alignment horizontal="left" vertical="top" wrapText="1"/>
    </xf>
    <xf numFmtId="0" fontId="65" fillId="0" borderId="0" xfId="0" applyFont="1" applyAlignment="1" applyProtection="1">
      <alignment horizontal="left" vertical="top" wrapText="1"/>
    </xf>
    <xf numFmtId="0" fontId="65" fillId="0" borderId="125" xfId="0" applyFont="1" applyBorder="1" applyAlignment="1" applyProtection="1">
      <alignment horizontal="left" vertical="top" wrapText="1"/>
    </xf>
    <xf numFmtId="0" fontId="0" fillId="0" borderId="23" xfId="0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125" xfId="0" applyBorder="1" applyAlignment="1" applyProtection="1">
      <alignment horizontal="left" vertical="top" wrapText="1"/>
    </xf>
    <xf numFmtId="0" fontId="0" fillId="0" borderId="23" xfId="0" applyBorder="1" applyAlignment="1">
      <alignment wrapText="1"/>
    </xf>
    <xf numFmtId="0" fontId="23" fillId="0" borderId="0" xfId="0" applyFont="1" applyBorder="1" applyAlignment="1" applyProtection="1">
      <alignment horizontal="left" wrapText="1"/>
    </xf>
    <xf numFmtId="0" fontId="23" fillId="0" borderId="125" xfId="0" applyFont="1" applyBorder="1" applyAlignment="1" applyProtection="1">
      <alignment horizontal="left" wrapText="1"/>
    </xf>
    <xf numFmtId="181" fontId="81" fillId="24" borderId="0" xfId="47" applyFont="1" applyFill="1" applyBorder="1" applyAlignment="1" applyProtection="1">
      <alignment horizontal="left" vertical="center" wrapText="1"/>
    </xf>
    <xf numFmtId="181" fontId="73" fillId="24" borderId="23" xfId="47" applyFont="1" applyFill="1" applyBorder="1" applyAlignment="1" applyProtection="1">
      <alignment horizontal="center" vertical="center" wrapText="1"/>
    </xf>
    <xf numFmtId="0" fontId="76" fillId="0" borderId="125" xfId="0" applyFont="1" applyBorder="1" applyAlignment="1">
      <alignment horizontal="center" vertical="center" wrapText="1"/>
    </xf>
    <xf numFmtId="0" fontId="76" fillId="0" borderId="23" xfId="0" applyFont="1" applyBorder="1" applyAlignment="1">
      <alignment horizontal="center" vertical="center" wrapText="1"/>
    </xf>
    <xf numFmtId="181" fontId="61" fillId="24" borderId="0" xfId="47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81" fontId="81" fillId="24" borderId="125" xfId="47" applyFont="1" applyFill="1" applyBorder="1" applyAlignment="1" applyProtection="1">
      <alignment horizontal="left" vertical="center" wrapText="1"/>
    </xf>
    <xf numFmtId="0" fontId="65" fillId="0" borderId="125" xfId="36" applyFont="1" applyBorder="1" applyAlignment="1">
      <alignment vertical="center"/>
    </xf>
    <xf numFmtId="181" fontId="15" fillId="29" borderId="0" xfId="47" applyFont="1" applyFill="1" applyBorder="1" applyAlignment="1" applyProtection="1">
      <alignment vertical="center" wrapText="1"/>
    </xf>
    <xf numFmtId="181" fontId="15" fillId="29" borderId="111" xfId="47" applyFont="1" applyFill="1" applyBorder="1" applyAlignment="1" applyProtection="1">
      <alignment vertical="center" wrapText="1"/>
    </xf>
    <xf numFmtId="0" fontId="61" fillId="0" borderId="0" xfId="0" applyFont="1" applyAlignment="1">
      <alignment horizontal="center" vertical="center"/>
    </xf>
    <xf numFmtId="181" fontId="118" fillId="24" borderId="0" xfId="47" applyFont="1" applyFill="1" applyAlignment="1" applyProtection="1">
      <alignment horizontal="center" vertical="center"/>
    </xf>
    <xf numFmtId="0" fontId="119" fillId="0" borderId="0" xfId="0" applyFont="1" applyAlignment="1">
      <alignment horizontal="center" vertical="center"/>
    </xf>
    <xf numFmtId="0" fontId="111" fillId="0" borderId="152" xfId="0" applyFont="1" applyBorder="1" applyAlignment="1" applyProtection="1">
      <alignment horizontal="center" vertical="center" wrapText="1"/>
    </xf>
    <xf numFmtId="0" fontId="111" fillId="0" borderId="154" xfId="0" applyFont="1" applyBorder="1" applyAlignment="1" applyProtection="1">
      <alignment horizontal="center" vertical="center" wrapText="1"/>
    </xf>
    <xf numFmtId="0" fontId="111" fillId="0" borderId="96" xfId="0" applyFont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85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0" fillId="0" borderId="148" xfId="0" applyNumberFormat="1" applyFill="1" applyBorder="1" applyAlignment="1" applyProtection="1">
      <alignment horizontal="left" vertical="top" wrapText="1"/>
      <protection locked="0"/>
    </xf>
    <xf numFmtId="0" fontId="0" fillId="0" borderId="145" xfId="0" applyNumberFormat="1" applyFill="1" applyBorder="1" applyAlignment="1" applyProtection="1">
      <alignment horizontal="left" vertical="top" wrapText="1"/>
      <protection locked="0"/>
    </xf>
    <xf numFmtId="0" fontId="0" fillId="0" borderId="71" xfId="0" applyNumberFormat="1" applyFill="1" applyBorder="1" applyAlignment="1" applyProtection="1">
      <alignment horizontal="left" vertical="top" wrapText="1"/>
      <protection locked="0"/>
    </xf>
    <xf numFmtId="0" fontId="10" fillId="0" borderId="155" xfId="0" applyFont="1" applyFill="1" applyBorder="1" applyAlignment="1" applyProtection="1">
      <alignment horizontal="center" vertical="center"/>
    </xf>
    <xf numFmtId="0" fontId="10" fillId="0" borderId="156" xfId="0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113" xfId="0" applyFont="1" applyFill="1" applyBorder="1" applyAlignment="1" applyProtection="1">
      <alignment horizontal="center" vertical="center"/>
    </xf>
    <xf numFmtId="0" fontId="5" fillId="0" borderId="111" xfId="0" applyFont="1" applyBorder="1" applyAlignment="1">
      <alignment horizontal="left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43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28" fillId="24" borderId="79" xfId="0" applyFont="1" applyFill="1" applyBorder="1" applyAlignment="1">
      <alignment horizontal="center" wrapText="1"/>
    </xf>
    <xf numFmtId="0" fontId="28" fillId="24" borderId="35" xfId="0" applyFont="1" applyFill="1" applyBorder="1" applyAlignment="1">
      <alignment horizontal="center" wrapText="1"/>
    </xf>
    <xf numFmtId="0" fontId="7" fillId="24" borderId="0" xfId="0" applyFont="1" applyFill="1" applyBorder="1" applyAlignment="1">
      <alignment horizontal="left" vertical="center"/>
    </xf>
    <xf numFmtId="0" fontId="28" fillId="24" borderId="35" xfId="0" applyFont="1" applyFill="1" applyBorder="1" applyAlignment="1">
      <alignment horizontal="center" vertical="center" wrapText="1"/>
    </xf>
    <xf numFmtId="0" fontId="28" fillId="24" borderId="62" xfId="0" applyFont="1" applyFill="1" applyBorder="1" applyAlignment="1">
      <alignment horizontal="center" vertical="center" wrapText="1"/>
    </xf>
    <xf numFmtId="0" fontId="28" fillId="24" borderId="99" xfId="0" applyFont="1" applyFill="1" applyBorder="1" applyAlignment="1">
      <alignment horizontal="center" vertical="center" wrapText="1"/>
    </xf>
    <xf numFmtId="0" fontId="28" fillId="24" borderId="54" xfId="0" applyFont="1" applyFill="1" applyBorder="1" applyAlignment="1">
      <alignment horizontal="center" vertical="center" wrapText="1"/>
    </xf>
    <xf numFmtId="0" fontId="28" fillId="24" borderId="98" xfId="0" applyFont="1" applyFill="1" applyBorder="1" applyAlignment="1">
      <alignment horizontal="center" vertical="center" wrapText="1"/>
    </xf>
    <xf numFmtId="0" fontId="28" fillId="24" borderId="79" xfId="0" applyFont="1" applyFill="1" applyBorder="1" applyAlignment="1">
      <alignment horizontal="center" vertical="center" wrapText="1"/>
    </xf>
    <xf numFmtId="0" fontId="28" fillId="24" borderId="77" xfId="0" applyFont="1" applyFill="1" applyBorder="1" applyAlignment="1">
      <alignment horizontal="center" vertical="center" wrapText="1"/>
    </xf>
    <xf numFmtId="0" fontId="28" fillId="24" borderId="77" xfId="0" applyFont="1" applyFill="1" applyBorder="1" applyAlignment="1">
      <alignment horizontal="center" wrapText="1"/>
    </xf>
    <xf numFmtId="0" fontId="28" fillId="24" borderId="62" xfId="0" applyFont="1" applyFill="1" applyBorder="1" applyAlignment="1">
      <alignment horizontal="center" wrapText="1"/>
    </xf>
    <xf numFmtId="0" fontId="28" fillId="24" borderId="59" xfId="0" applyFont="1" applyFill="1" applyBorder="1" applyAlignment="1">
      <alignment horizontal="center" wrapText="1"/>
    </xf>
    <xf numFmtId="0" fontId="19" fillId="24" borderId="35" xfId="0" applyFont="1" applyFill="1" applyBorder="1" applyAlignment="1">
      <alignment horizontal="center" wrapText="1"/>
    </xf>
    <xf numFmtId="0" fontId="21" fillId="24" borderId="157" xfId="50" applyFont="1" applyFill="1" applyBorder="1" applyAlignment="1" applyProtection="1">
      <alignment horizontal="center" vertical="center" wrapText="1"/>
    </xf>
    <xf numFmtId="0" fontId="21" fillId="24" borderId="37" xfId="50" applyFont="1" applyFill="1" applyBorder="1" applyAlignment="1" applyProtection="1">
      <alignment horizontal="center" vertical="center" wrapText="1"/>
    </xf>
    <xf numFmtId="0" fontId="21" fillId="24" borderId="18" xfId="51" applyFont="1" applyFill="1" applyBorder="1" applyAlignment="1" applyProtection="1">
      <alignment horizontal="center" vertical="center"/>
    </xf>
    <xf numFmtId="0" fontId="21" fillId="24" borderId="37" xfId="51" applyFont="1" applyFill="1" applyBorder="1" applyAlignment="1" applyProtection="1">
      <alignment horizontal="center" vertical="center"/>
    </xf>
    <xf numFmtId="0" fontId="21" fillId="24" borderId="43" xfId="5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 wrapText="1"/>
    </xf>
    <xf numFmtId="0" fontId="28" fillId="0" borderId="111" xfId="0" applyFont="1" applyBorder="1" applyAlignment="1">
      <alignment horizontal="left" vertical="center" wrapText="1"/>
    </xf>
    <xf numFmtId="0" fontId="21" fillId="24" borderId="18" xfId="50" applyFont="1" applyFill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21" fillId="24" borderId="42" xfId="50" applyFont="1" applyFill="1" applyBorder="1" applyAlignment="1" applyProtection="1">
      <alignment horizontal="center" vertical="center"/>
    </xf>
    <xf numFmtId="0" fontId="13" fillId="24" borderId="38" xfId="51" applyFont="1" applyFill="1" applyBorder="1" applyAlignment="1">
      <alignment horizontal="center" vertical="center"/>
    </xf>
    <xf numFmtId="0" fontId="0" fillId="0" borderId="15" xfId="0" applyBorder="1" applyAlignment="1"/>
    <xf numFmtId="0" fontId="0" fillId="0" borderId="36" xfId="0" applyBorder="1" applyAlignment="1"/>
    <xf numFmtId="0" fontId="21" fillId="24" borderId="18" xfId="50" applyFont="1" applyFill="1" applyBorder="1" applyAlignment="1" applyProtection="1">
      <alignment horizontal="center" vertical="center" wrapText="1"/>
    </xf>
    <xf numFmtId="0" fontId="21" fillId="24" borderId="43" xfId="50" applyFont="1" applyFill="1" applyBorder="1" applyAlignment="1" applyProtection="1">
      <alignment horizontal="center" vertical="center" wrapText="1"/>
    </xf>
    <xf numFmtId="0" fontId="22" fillId="0" borderId="19" xfId="0" applyFont="1" applyFill="1" applyBorder="1" applyAlignment="1" applyProtection="1">
      <alignment horizontal="center" vertical="center" wrapText="1"/>
    </xf>
    <xf numFmtId="0" fontId="22" fillId="0" borderId="158" xfId="0" applyFont="1" applyFill="1" applyBorder="1" applyAlignment="1" applyProtection="1">
      <alignment horizontal="center" vertical="center" wrapText="1"/>
    </xf>
    <xf numFmtId="0" fontId="5" fillId="0" borderId="84" xfId="0" applyFont="1" applyFill="1" applyBorder="1" applyAlignment="1" applyProtection="1">
      <alignment horizontal="center" vertical="center"/>
    </xf>
    <xf numFmtId="0" fontId="21" fillId="0" borderId="19" xfId="50" applyFont="1" applyFill="1" applyBorder="1" applyAlignment="1" applyProtection="1">
      <alignment horizontal="center" vertical="center" wrapText="1"/>
    </xf>
    <xf numFmtId="0" fontId="21" fillId="0" borderId="20" xfId="50" applyFont="1" applyFill="1" applyBorder="1" applyAlignment="1" applyProtection="1">
      <alignment horizontal="center" vertical="center" wrapText="1"/>
    </xf>
    <xf numFmtId="0" fontId="21" fillId="0" borderId="100" xfId="50" applyFont="1" applyFill="1" applyBorder="1" applyAlignment="1" applyProtection="1">
      <alignment horizontal="center" vertical="center" wrapText="1"/>
    </xf>
    <xf numFmtId="0" fontId="21" fillId="0" borderId="108" xfId="50" applyFont="1" applyFill="1" applyBorder="1" applyAlignment="1" applyProtection="1">
      <alignment horizontal="center" vertical="center" wrapText="1"/>
    </xf>
    <xf numFmtId="0" fontId="21" fillId="0" borderId="127" xfId="50" applyFont="1" applyFill="1" applyBorder="1" applyAlignment="1" applyProtection="1">
      <alignment horizontal="center" vertical="center" wrapText="1"/>
    </xf>
    <xf numFmtId="0" fontId="21" fillId="0" borderId="69" xfId="50" applyFont="1" applyFill="1" applyBorder="1" applyAlignment="1" applyProtection="1">
      <alignment horizontal="center" vertical="center" wrapText="1"/>
    </xf>
    <xf numFmtId="0" fontId="21" fillId="0" borderId="100" xfId="51" applyFont="1" applyFill="1" applyBorder="1" applyAlignment="1" applyProtection="1">
      <alignment horizontal="center" vertical="center" wrapText="1"/>
    </xf>
    <xf numFmtId="0" fontId="21" fillId="0" borderId="108" xfId="51" applyFont="1" applyFill="1" applyBorder="1" applyAlignment="1" applyProtection="1">
      <alignment horizontal="center" vertical="center" wrapText="1"/>
    </xf>
    <xf numFmtId="0" fontId="21" fillId="0" borderId="19" xfId="51" applyFont="1" applyFill="1" applyBorder="1" applyAlignment="1" applyProtection="1">
      <alignment horizontal="center" vertical="center" wrapText="1"/>
    </xf>
    <xf numFmtId="0" fontId="21" fillId="0" borderId="20" xfId="51" applyFont="1" applyFill="1" applyBorder="1" applyAlignment="1" applyProtection="1">
      <alignment horizontal="center" vertical="center" wrapText="1"/>
    </xf>
    <xf numFmtId="0" fontId="21" fillId="0" borderId="18" xfId="51" applyFont="1" applyFill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1" fillId="0" borderId="100" xfId="51" applyFont="1" applyFill="1" applyBorder="1" applyAlignment="1" applyProtection="1">
      <alignment horizontal="center" vertical="center"/>
    </xf>
    <xf numFmtId="0" fontId="21" fillId="0" borderId="69" xfId="51" applyFont="1" applyFill="1" applyBorder="1" applyAlignment="1" applyProtection="1">
      <alignment horizontal="center" vertical="center"/>
    </xf>
    <xf numFmtId="0" fontId="21" fillId="0" borderId="18" xfId="51" applyFont="1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18" xfId="52" applyFont="1" applyFill="1" applyBorder="1" applyAlignment="1" applyProtection="1">
      <alignment horizontal="center" vertical="center"/>
    </xf>
    <xf numFmtId="0" fontId="6" fillId="0" borderId="37" xfId="52" applyFont="1" applyFill="1" applyBorder="1" applyAlignment="1" applyProtection="1">
      <alignment horizontal="center" vertical="center"/>
    </xf>
    <xf numFmtId="0" fontId="6" fillId="0" borderId="18" xfId="53" applyFont="1" applyFill="1" applyBorder="1" applyAlignment="1" applyProtection="1">
      <alignment horizontal="center" vertical="center"/>
    </xf>
    <xf numFmtId="0" fontId="6" fillId="0" borderId="37" xfId="53" applyFont="1" applyFill="1" applyBorder="1" applyAlignment="1" applyProtection="1">
      <alignment horizontal="center" vertical="center"/>
    </xf>
    <xf numFmtId="0" fontId="6" fillId="0" borderId="43" xfId="53" applyFont="1" applyFill="1" applyBorder="1" applyAlignment="1" applyProtection="1">
      <alignment horizontal="center" vertical="center"/>
    </xf>
    <xf numFmtId="0" fontId="16" fillId="0" borderId="159" xfId="54" applyFont="1" applyFill="1" applyBorder="1" applyAlignment="1" applyProtection="1">
      <alignment horizontal="center" vertical="center" wrapText="1"/>
    </xf>
    <xf numFmtId="0" fontId="16" fillId="0" borderId="26" xfId="54" applyFont="1" applyFill="1" applyBorder="1" applyAlignment="1" applyProtection="1">
      <alignment horizontal="center" vertical="center" wrapText="1"/>
    </xf>
    <xf numFmtId="0" fontId="63" fillId="0" borderId="0" xfId="0" applyFont="1" applyAlignment="1">
      <alignment horizontal="center" wrapText="1"/>
    </xf>
    <xf numFmtId="0" fontId="63" fillId="0" borderId="111" xfId="0" applyFont="1" applyBorder="1" applyAlignment="1">
      <alignment horizontal="center" wrapText="1"/>
    </xf>
    <xf numFmtId="0" fontId="0" fillId="0" borderId="37" xfId="0" applyBorder="1" applyAlignment="1">
      <alignment horizontal="center" vertical="center" wrapText="1"/>
    </xf>
    <xf numFmtId="0" fontId="16" fillId="0" borderId="100" xfId="55" applyFont="1" applyFill="1" applyBorder="1" applyAlignment="1" applyProtection="1">
      <alignment horizontal="center" vertical="center" wrapText="1"/>
      <protection locked="0"/>
    </xf>
    <xf numFmtId="0" fontId="0" fillId="0" borderId="108" xfId="0" applyBorder="1"/>
    <xf numFmtId="0" fontId="16" fillId="0" borderId="100" xfId="55" applyFont="1" applyFill="1" applyBorder="1" applyAlignment="1" applyProtection="1">
      <alignment horizontal="center" vertical="center" wrapText="1"/>
    </xf>
    <xf numFmtId="0" fontId="16" fillId="0" borderId="108" xfId="55" applyFont="1" applyFill="1" applyBorder="1" applyAlignment="1" applyProtection="1">
      <alignment horizontal="center" vertical="center" wrapText="1"/>
    </xf>
    <xf numFmtId="0" fontId="10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17" fillId="0" borderId="19" xfId="55" applyFont="1" applyBorder="1" applyAlignment="1">
      <alignment horizontal="center" vertical="center" wrapText="1"/>
    </xf>
    <xf numFmtId="0" fontId="16" fillId="0" borderId="19" xfId="55" applyFont="1" applyFill="1" applyBorder="1" applyAlignment="1" applyProtection="1">
      <alignment horizontal="center" vertical="center" wrapText="1"/>
    </xf>
    <xf numFmtId="0" fontId="17" fillId="0" borderId="19" xfId="55" applyFont="1" applyFill="1" applyBorder="1" applyAlignment="1" applyProtection="1">
      <alignment horizontal="center" vertical="center" wrapText="1"/>
    </xf>
    <xf numFmtId="0" fontId="0" fillId="0" borderId="148" xfId="0" applyBorder="1" applyAlignment="1" applyProtection="1">
      <alignment vertical="top" wrapText="1"/>
      <protection locked="0"/>
    </xf>
    <xf numFmtId="0" fontId="0" fillId="0" borderId="145" xfId="0" applyBorder="1" applyAlignment="1" applyProtection="1">
      <alignment vertical="top" wrapText="1"/>
      <protection locked="0"/>
    </xf>
    <xf numFmtId="0" fontId="0" fillId="0" borderId="71" xfId="0" applyBorder="1" applyAlignment="1" applyProtection="1">
      <alignment vertical="top" wrapText="1"/>
      <protection locked="0"/>
    </xf>
    <xf numFmtId="0" fontId="31" fillId="0" borderId="45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66" fillId="0" borderId="22" xfId="0" applyFont="1" applyBorder="1" applyAlignment="1">
      <alignment horizontal="left" vertical="center" wrapText="1"/>
    </xf>
    <xf numFmtId="0" fontId="166" fillId="0" borderId="0" xfId="0" applyFont="1" applyAlignment="1">
      <alignment horizontal="left" vertical="center" wrapText="1"/>
    </xf>
    <xf numFmtId="0" fontId="138" fillId="0" borderId="154" xfId="0" applyFont="1" applyBorder="1" applyAlignment="1">
      <alignment horizontal="center"/>
    </xf>
    <xf numFmtId="0" fontId="140" fillId="0" borderId="111" xfId="0" applyFont="1" applyBorder="1" applyAlignment="1">
      <alignment horizontal="center" vertical="center" wrapText="1"/>
    </xf>
    <xf numFmtId="0" fontId="134" fillId="0" borderId="141" xfId="36" applyFont="1" applyBorder="1" applyAlignment="1" applyProtection="1">
      <alignment horizontal="center" vertical="center" wrapText="1"/>
    </xf>
    <xf numFmtId="0" fontId="136" fillId="0" borderId="146" xfId="39" applyBorder="1" applyAlignment="1">
      <alignment wrapText="1"/>
    </xf>
    <xf numFmtId="0" fontId="136" fillId="0" borderId="160" xfId="39" applyBorder="1" applyAlignment="1">
      <alignment wrapText="1"/>
    </xf>
    <xf numFmtId="0" fontId="2" fillId="0" borderId="141" xfId="36" applyFont="1" applyBorder="1" applyAlignment="1" applyProtection="1">
      <alignment horizontal="center" vertical="center" wrapText="1"/>
    </xf>
    <xf numFmtId="0" fontId="136" fillId="0" borderId="160" xfId="39" applyBorder="1" applyAlignment="1">
      <alignment horizontal="center" vertical="center" wrapText="1"/>
    </xf>
    <xf numFmtId="181" fontId="38" fillId="0" borderId="141" xfId="48" applyNumberFormat="1" applyFont="1" applyBorder="1" applyAlignment="1" applyProtection="1">
      <alignment horizontal="center" vertical="center" wrapText="1"/>
    </xf>
    <xf numFmtId="0" fontId="167" fillId="0" borderId="160" xfId="39" applyFont="1" applyBorder="1" applyAlignment="1">
      <alignment horizontal="center" vertical="center" wrapText="1"/>
    </xf>
    <xf numFmtId="181" fontId="2" fillId="0" borderId="141" xfId="48" applyNumberFormat="1" applyFont="1" applyBorder="1" applyAlignment="1" applyProtection="1">
      <alignment horizontal="center" vertical="center" wrapText="1"/>
    </xf>
    <xf numFmtId="0" fontId="136" fillId="0" borderId="146" xfId="39" applyBorder="1" applyAlignment="1">
      <alignment horizontal="center" vertical="center" wrapText="1"/>
    </xf>
    <xf numFmtId="49" fontId="152" fillId="0" borderId="62" xfId="39" applyNumberFormat="1" applyFont="1" applyBorder="1" applyAlignment="1" applyProtection="1">
      <alignment horizontal="center" vertical="center" wrapText="1"/>
      <protection locked="0"/>
    </xf>
    <xf numFmtId="49" fontId="152" fillId="0" borderId="132" xfId="39" applyNumberFormat="1" applyFont="1" applyBorder="1" applyAlignment="1" applyProtection="1">
      <alignment horizontal="center" vertical="center" wrapText="1"/>
      <protection locked="0"/>
    </xf>
    <xf numFmtId="49" fontId="152" fillId="0" borderId="59" xfId="39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3" fontId="15" fillId="0" borderId="139" xfId="0" applyNumberFormat="1" applyFont="1" applyFill="1" applyBorder="1" applyAlignment="1" applyProtection="1">
      <protection locked="0"/>
    </xf>
    <xf numFmtId="3" fontId="15" fillId="0" borderId="56" xfId="0" applyNumberFormat="1" applyFont="1" applyFill="1" applyBorder="1" applyAlignment="1" applyProtection="1">
      <protection locked="0"/>
    </xf>
    <xf numFmtId="0" fontId="15" fillId="0" borderId="140" xfId="0" applyNumberFormat="1" applyFont="1" applyFill="1" applyBorder="1" applyAlignment="1" applyProtection="1">
      <alignment wrapText="1"/>
      <protection locked="0"/>
    </xf>
    <xf numFmtId="0" fontId="15" fillId="0" borderId="161" xfId="0" applyNumberFormat="1" applyFont="1" applyFill="1" applyBorder="1" applyAlignment="1" applyProtection="1">
      <alignment wrapText="1"/>
      <protection locked="0"/>
    </xf>
    <xf numFmtId="0" fontId="168" fillId="0" borderId="111" xfId="0" applyFont="1" applyBorder="1" applyAlignment="1" applyProtection="1">
      <alignment horizontal="right" vertical="top" wrapText="1"/>
    </xf>
    <xf numFmtId="0" fontId="146" fillId="0" borderId="111" xfId="0" applyFont="1" applyBorder="1" applyAlignment="1" applyProtection="1">
      <alignment horizontal="right"/>
    </xf>
    <xf numFmtId="0" fontId="5" fillId="0" borderId="62" xfId="0" applyFont="1" applyBorder="1" applyAlignment="1">
      <alignment horizontal="center"/>
    </xf>
    <xf numFmtId="0" fontId="5" fillId="0" borderId="132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8" fillId="0" borderId="0" xfId="0" applyFont="1" applyBorder="1" applyAlignment="1">
      <alignment horizontal="left" vertical="center" wrapText="1"/>
    </xf>
    <xf numFmtId="0" fontId="22" fillId="0" borderId="62" xfId="0" applyFont="1" applyBorder="1" applyAlignment="1">
      <alignment horizontal="center" wrapText="1"/>
    </xf>
    <xf numFmtId="0" fontId="22" fillId="0" borderId="132" xfId="0" applyFont="1" applyBorder="1" applyAlignment="1">
      <alignment horizontal="center" wrapText="1"/>
    </xf>
    <xf numFmtId="0" fontId="22" fillId="0" borderId="59" xfId="0" applyFont="1" applyBorder="1" applyAlignment="1">
      <alignment horizontal="center" wrapText="1"/>
    </xf>
    <xf numFmtId="0" fontId="22" fillId="0" borderId="62" xfId="0" applyFont="1" applyBorder="1" applyAlignment="1">
      <alignment horizontal="center"/>
    </xf>
    <xf numFmtId="0" fontId="22" fillId="0" borderId="132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63" fillId="0" borderId="0" xfId="0" applyFont="1" applyAlignment="1">
      <alignment horizontal="center" vertical="center" wrapText="1"/>
    </xf>
    <xf numFmtId="0" fontId="28" fillId="0" borderId="116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13" fillId="0" borderId="14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5" fillId="0" borderId="4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8" fillId="0" borderId="116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3" fillId="0" borderId="152" xfId="0" applyFont="1" applyBorder="1" applyAlignment="1">
      <alignment horizontal="left" wrapText="1"/>
    </xf>
    <xf numFmtId="0" fontId="23" fillId="0" borderId="154" xfId="0" applyFont="1" applyBorder="1" applyAlignment="1">
      <alignment horizontal="left" wrapText="1"/>
    </xf>
    <xf numFmtId="0" fontId="23" fillId="0" borderId="96" xfId="0" applyFont="1" applyBorder="1" applyAlignment="1">
      <alignment horizontal="left" wrapText="1"/>
    </xf>
    <xf numFmtId="10" fontId="3" fillId="0" borderId="162" xfId="58" applyNumberFormat="1" applyFont="1" applyBorder="1" applyAlignment="1">
      <alignment horizontal="center" vertical="center" wrapText="1"/>
    </xf>
    <xf numFmtId="10" fontId="3" fillId="0" borderId="146" xfId="58" applyNumberFormat="1" applyFont="1" applyBorder="1" applyAlignment="1">
      <alignment horizontal="center" vertical="center" wrapText="1"/>
    </xf>
    <xf numFmtId="10" fontId="3" fillId="0" borderId="160" xfId="58" applyNumberFormat="1" applyFont="1" applyBorder="1" applyAlignment="1">
      <alignment horizontal="center" vertical="center" wrapText="1"/>
    </xf>
    <xf numFmtId="0" fontId="10" fillId="0" borderId="148" xfId="0" applyFont="1" applyBorder="1" applyAlignment="1">
      <alignment horizontal="right"/>
    </xf>
    <xf numFmtId="0" fontId="10" fillId="0" borderId="145" xfId="0" applyFont="1" applyBorder="1" applyAlignment="1">
      <alignment horizontal="right"/>
    </xf>
    <xf numFmtId="0" fontId="10" fillId="0" borderId="149" xfId="0" applyFont="1" applyBorder="1" applyAlignment="1">
      <alignment horizontal="right"/>
    </xf>
    <xf numFmtId="0" fontId="23" fillId="0" borderId="152" xfId="0" applyFont="1" applyBorder="1" applyAlignment="1">
      <alignment horizontal="left" vertical="top" wrapText="1"/>
    </xf>
    <xf numFmtId="0" fontId="23" fillId="0" borderId="154" xfId="0" applyFont="1" applyBorder="1" applyAlignment="1">
      <alignment horizontal="left" vertical="top" wrapText="1"/>
    </xf>
    <xf numFmtId="0" fontId="23" fillId="0" borderId="96" xfId="0" applyFont="1" applyBorder="1" applyAlignment="1">
      <alignment horizontal="left" vertical="top" wrapText="1"/>
    </xf>
    <xf numFmtId="0" fontId="14" fillId="0" borderId="152" xfId="0" applyFont="1" applyFill="1" applyBorder="1" applyAlignment="1">
      <alignment horizontal="center" vertical="center"/>
    </xf>
    <xf numFmtId="0" fontId="14" fillId="0" borderId="154" xfId="0" applyFont="1" applyFill="1" applyBorder="1" applyAlignment="1">
      <alignment horizontal="center" vertical="center"/>
    </xf>
    <xf numFmtId="0" fontId="14" fillId="0" borderId="96" xfId="0" applyFont="1" applyFill="1" applyBorder="1" applyAlignment="1">
      <alignment horizontal="center" vertical="center"/>
    </xf>
    <xf numFmtId="0" fontId="14" fillId="0" borderId="152" xfId="0" applyFont="1" applyBorder="1" applyAlignment="1">
      <alignment horizontal="center" vertical="center" wrapText="1"/>
    </xf>
    <xf numFmtId="0" fontId="30" fillId="0" borderId="154" xfId="0" applyFont="1" applyBorder="1" applyAlignment="1">
      <alignment horizontal="center" vertical="center"/>
    </xf>
    <xf numFmtId="3" fontId="39" fillId="0" borderId="163" xfId="0" applyNumberFormat="1" applyFont="1" applyBorder="1" applyAlignment="1">
      <alignment horizontal="center"/>
    </xf>
    <xf numFmtId="0" fontId="60" fillId="0" borderId="154" xfId="0" applyFont="1" applyBorder="1"/>
    <xf numFmtId="0" fontId="60" fillId="0" borderId="96" xfId="0" applyFont="1" applyBorder="1"/>
    <xf numFmtId="0" fontId="10" fillId="0" borderId="152" xfId="0" applyFont="1" applyFill="1" applyBorder="1" applyAlignment="1">
      <alignment horizontal="center" vertical="center" wrapText="1"/>
    </xf>
    <xf numFmtId="0" fontId="10" fillId="0" borderId="154" xfId="0" applyFont="1" applyFill="1" applyBorder="1" applyAlignment="1">
      <alignment horizontal="center" vertical="center" wrapText="1"/>
    </xf>
    <xf numFmtId="0" fontId="10" fillId="0" borderId="96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11" xfId="0" applyFont="1" applyFill="1" applyBorder="1" applyAlignment="1">
      <alignment horizontal="center" vertical="center"/>
    </xf>
    <xf numFmtId="0" fontId="14" fillId="0" borderId="15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154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30" fillId="0" borderId="96" xfId="0" applyFont="1" applyBorder="1" applyAlignment="1">
      <alignment horizontal="center" vertical="center"/>
    </xf>
    <xf numFmtId="0" fontId="30" fillId="0" borderId="84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11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7" fillId="0" borderId="152" xfId="0" applyFont="1" applyBorder="1" applyAlignment="1" applyProtection="1">
      <alignment horizontal="left" vertical="top" wrapText="1"/>
    </xf>
    <xf numFmtId="0" fontId="7" fillId="0" borderId="154" xfId="0" applyFont="1" applyBorder="1" applyAlignment="1" applyProtection="1">
      <alignment horizontal="left" vertical="top" wrapText="1"/>
    </xf>
    <xf numFmtId="0" fontId="7" fillId="0" borderId="96" xfId="0" applyFont="1" applyBorder="1" applyAlignment="1" applyProtection="1">
      <alignment horizontal="left" vertical="top" wrapText="1"/>
    </xf>
    <xf numFmtId="0" fontId="23" fillId="24" borderId="118" xfId="0" applyFont="1" applyFill="1" applyBorder="1" applyAlignment="1">
      <alignment horizontal="center" vertical="center" wrapText="1"/>
    </xf>
    <xf numFmtId="0" fontId="23" fillId="24" borderId="115" xfId="0" applyFont="1" applyFill="1" applyBorder="1" applyAlignment="1">
      <alignment horizontal="center" vertical="center" wrapText="1"/>
    </xf>
    <xf numFmtId="0" fontId="23" fillId="24" borderId="119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top" wrapText="1"/>
    </xf>
    <xf numFmtId="0" fontId="23" fillId="24" borderId="45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3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3" fillId="0" borderId="78" xfId="0" applyFont="1" applyBorder="1" applyAlignment="1">
      <alignment horizontal="center" wrapText="1"/>
    </xf>
  </cellXfs>
  <cellStyles count="7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Euro" xfId="29"/>
    <cellStyle name="Input" xfId="30" builtinId="20" customBuiltin="1"/>
    <cellStyle name="Logico" xfId="31"/>
    <cellStyle name="Migliaia" xfId="32" builtinId="3"/>
    <cellStyle name="Migliaia (0)_3tabella15" xfId="33"/>
    <cellStyle name="Migliaia 2" xfId="34"/>
    <cellStyle name="Neutrale" xfId="35" builtinId="28" customBuiltin="1"/>
    <cellStyle name="Normale" xfId="0" builtinId="0"/>
    <cellStyle name="Normale 2" xfId="36"/>
    <cellStyle name="Normale 2 2 2" xfId="37"/>
    <cellStyle name="Normale 2 3" xfId="38"/>
    <cellStyle name="Normale 3" xfId="39"/>
    <cellStyle name="Normale 4" xfId="40"/>
    <cellStyle name="Normale 4 2" xfId="41"/>
    <cellStyle name="Normale 5" xfId="42"/>
    <cellStyle name="Normale 8" xfId="43"/>
    <cellStyle name="Normale_ENTI LOCALI  2000" xfId="44"/>
    <cellStyle name="Normale_MINISTERI" xfId="45"/>
    <cellStyle name="Normale_modello si2 raln_MODIFICATO_ALESSIO" xfId="46"/>
    <cellStyle name="Normale_PRINFEL98" xfId="47"/>
    <cellStyle name="Normale_PRINFEL98_modello si2 raln_MODIFICATO_ALESSIO 2" xfId="48"/>
    <cellStyle name="Normale_Prospetto informativo 2001" xfId="49"/>
    <cellStyle name="Normale_tabella 4" xfId="50"/>
    <cellStyle name="Normale_tabella 5" xfId="51"/>
    <cellStyle name="Normale_tabella 6" xfId="52"/>
    <cellStyle name="Normale_tabella 7" xfId="53"/>
    <cellStyle name="Normale_tabella 8" xfId="54"/>
    <cellStyle name="Normale_tabella 9" xfId="55"/>
    <cellStyle name="Nota" xfId="56" builtinId="10" customBuiltin="1"/>
    <cellStyle name="Output" xfId="57" builtinId="21" customBuiltin="1"/>
    <cellStyle name="Percentuale" xfId="58" builtinId="5"/>
    <cellStyle name="Percentuale 2" xfId="59"/>
    <cellStyle name="Percentuale 2 2" xfId="60"/>
    <cellStyle name="Testo avviso" xfId="61" builtinId="11" customBuiltin="1"/>
    <cellStyle name="Testo descrittivo" xfId="62" builtinId="53" customBuiltin="1"/>
    <cellStyle name="Titolo" xfId="63" builtinId="15" customBuiltin="1"/>
    <cellStyle name="Titolo 1" xfId="64" builtinId="16" customBuiltin="1"/>
    <cellStyle name="Titolo 2" xfId="65" builtinId="17" customBuiltin="1"/>
    <cellStyle name="Titolo 3" xfId="66" builtinId="18" customBuiltin="1"/>
    <cellStyle name="Titolo 4" xfId="67" builtinId="19" customBuiltin="1"/>
    <cellStyle name="Totale" xfId="68" builtinId="25" customBuiltin="1"/>
    <cellStyle name="Valore non valido" xfId="69" builtinId="27" customBuiltin="1"/>
    <cellStyle name="Valore valido" xfId="70" builtinId="26" customBuiltin="1"/>
    <cellStyle name="Valuta (0)_3tabella15" xfId="71"/>
  </cellStyles>
  <dxfs count="17"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4.4313197370288698E-3"/>
          <c:y val="0.19917335278385606"/>
          <c:w val="0.99172935714706101"/>
          <c:h val="0.273863360077802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SI_1!$B$170:$B$190</c:f>
              <c:strCache>
                <c:ptCount val="21"/>
                <c:pt idx="0">
                  <c:v>CoCoCo</c:v>
                </c:pt>
                <c:pt idx="1">
                  <c:v>SI_1A</c:v>
                </c:pt>
                <c:pt idx="2">
                  <c:v>SI_1A_CONV</c:v>
                </c:pt>
                <c:pt idx="3">
                  <c:v>T1</c:v>
                </c:pt>
                <c:pt idx="4">
                  <c:v>T2</c:v>
                </c:pt>
                <c:pt idx="5">
                  <c:v>T2A</c:v>
                </c:pt>
                <c:pt idx="6">
                  <c:v>T3</c:v>
                </c:pt>
                <c:pt idx="7">
                  <c:v>T4</c:v>
                </c:pt>
                <c:pt idx="8">
                  <c:v>T5</c:v>
                </c:pt>
                <c:pt idx="9">
                  <c:v>T6</c:v>
                </c:pt>
                <c:pt idx="10">
                  <c:v>T7</c:v>
                </c:pt>
                <c:pt idx="11">
                  <c:v>T8</c:v>
                </c:pt>
                <c:pt idx="12">
                  <c:v>T9</c:v>
                </c:pt>
                <c:pt idx="13">
                  <c:v>T10</c:v>
                </c:pt>
                <c:pt idx="14">
                  <c:v>T11</c:v>
                </c:pt>
                <c:pt idx="15">
                  <c:v>T12</c:v>
                </c:pt>
                <c:pt idx="16">
                  <c:v>T13</c:v>
                </c:pt>
                <c:pt idx="17">
                  <c:v>T14</c:v>
                </c:pt>
                <c:pt idx="18">
                  <c:v>T15</c:v>
                </c:pt>
                <c:pt idx="19">
                  <c:v>SICI</c:v>
                </c:pt>
                <c:pt idx="20">
                  <c:v>TRC</c:v>
                </c:pt>
              </c:strCache>
            </c:strRef>
          </c:cat>
          <c:val>
            <c:numRef>
              <c:f>SI_1!$C$170:$C$190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axId val="105740928"/>
        <c:axId val="105746816"/>
      </c:barChart>
      <c:catAx>
        <c:axId val="105740928"/>
        <c:scaling>
          <c:orientation val="minMax"/>
        </c:scaling>
        <c:axPos val="b"/>
        <c:numFmt formatCode="General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5746816"/>
        <c:crossesAt val="0"/>
        <c:auto val="1"/>
        <c:lblAlgn val="ctr"/>
        <c:lblOffset val="100"/>
        <c:tickLblSkip val="1"/>
        <c:tickMarkSkip val="1"/>
      </c:catAx>
      <c:valAx>
        <c:axId val="105746816"/>
        <c:scaling>
          <c:orientation val="minMax"/>
          <c:max val="1"/>
        </c:scaling>
        <c:delete val="1"/>
        <c:axPos val="l"/>
        <c:numFmt formatCode="General" sourceLinked="1"/>
        <c:tickLblPos val="none"/>
        <c:crossAx val="105740928"/>
        <c:crosses val="autoZero"/>
        <c:crossBetween val="between"/>
        <c:majorUnit val="1"/>
        <c:minorUnit val="0.04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4.4247787610619468E-3"/>
          <c:y val="0.29255425388899559"/>
          <c:w val="0.9699115044247788"/>
          <c:h val="0.3284981755329364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SI_1!$E$170:$E$193</c:f>
              <c:strCache>
                <c:ptCount val="24"/>
                <c:pt idx="0">
                  <c:v>controllo DOT. ORG.</c:v>
                </c:pt>
                <c:pt idx="1">
                  <c:v>SQ 1</c:v>
                </c:pt>
                <c:pt idx="2">
                  <c:v>SQ 2</c:v>
                </c:pt>
                <c:pt idx="3">
                  <c:v>SQ 3</c:v>
                </c:pt>
                <c:pt idx="4">
                  <c:v>SQ 4</c:v>
                </c:pt>
                <c:pt idx="5">
                  <c:v>SQ 7 (1)</c:v>
                </c:pt>
                <c:pt idx="6">
                  <c:v>SQ 9</c:v>
                </c:pt>
                <c:pt idx="7">
                  <c:v>SQ 10</c:v>
                </c:pt>
                <c:pt idx="8">
                  <c:v>IN 1</c:v>
                </c:pt>
                <c:pt idx="9">
                  <c:v>IN 2</c:v>
                </c:pt>
                <c:pt idx="10">
                  <c:v>IN 3</c:v>
                </c:pt>
                <c:pt idx="11">
                  <c:v>IN 4</c:v>
                </c:pt>
                <c:pt idx="12">
                  <c:v>IN 5</c:v>
                </c:pt>
                <c:pt idx="13">
                  <c:v>IN 6</c:v>
                </c:pt>
                <c:pt idx="14">
                  <c:v>IN 7</c:v>
                </c:pt>
                <c:pt idx="15">
                  <c:v>IN 8</c:v>
                </c:pt>
                <c:pt idx="16">
                  <c:v>IN 9</c:v>
                </c:pt>
                <c:pt idx="17">
                  <c:v>IN 10</c:v>
                </c:pt>
                <c:pt idx="18">
                  <c:v>IN 11</c:v>
                </c:pt>
                <c:pt idx="19">
                  <c:v>IN 12</c:v>
                </c:pt>
                <c:pt idx="20">
                  <c:v>IN 13</c:v>
                </c:pt>
                <c:pt idx="21">
                  <c:v>IN 14</c:v>
                </c:pt>
                <c:pt idx="22">
                  <c:v>IN 15</c:v>
                </c:pt>
                <c:pt idx="23">
                  <c:v>IN 16</c:v>
                </c:pt>
              </c:strCache>
            </c:strRef>
          </c:cat>
          <c:val>
            <c:numRef>
              <c:f>SI_1!$F$170:$F$193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761792"/>
        <c:axId val="105767680"/>
      </c:barChart>
      <c:catAx>
        <c:axId val="105761792"/>
        <c:scaling>
          <c:orientation val="minMax"/>
        </c:scaling>
        <c:axPos val="b"/>
        <c:numFmt formatCode="General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5767680"/>
        <c:crosses val="autoZero"/>
        <c:auto val="1"/>
        <c:lblAlgn val="ctr"/>
        <c:lblOffset val="100"/>
        <c:tickLblSkip val="1"/>
        <c:tickMarkSkip val="1"/>
      </c:catAx>
      <c:valAx>
        <c:axId val="105767680"/>
        <c:scaling>
          <c:orientation val="minMax"/>
        </c:scaling>
        <c:delete val="1"/>
        <c:axPos val="l"/>
        <c:numFmt formatCode="General" sourceLinked="1"/>
        <c:tickLblPos val="none"/>
        <c:crossAx val="10576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163</xdr:row>
      <xdr:rowOff>0</xdr:rowOff>
    </xdr:from>
    <xdr:to>
      <xdr:col>4</xdr:col>
      <xdr:colOff>99060</xdr:colOff>
      <xdr:row>163</xdr:row>
      <xdr:rowOff>190500</xdr:rowOff>
    </xdr:to>
    <xdr:sp macro="" textlink="">
      <xdr:nvSpPr>
        <xdr:cNvPr id="3441056" name="Text Box 7"/>
        <xdr:cNvSpPr txBox="1">
          <a:spLocks noChangeArrowheads="1"/>
        </xdr:cNvSpPr>
      </xdr:nvSpPr>
      <xdr:spPr bwMode="auto">
        <a:xfrm>
          <a:off x="4480560" y="20398740"/>
          <a:ext cx="9906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563880</xdr:colOff>
      <xdr:row>31</xdr:row>
      <xdr:rowOff>0</xdr:rowOff>
    </xdr:from>
    <xdr:to>
      <xdr:col>3</xdr:col>
      <xdr:colOff>563880</xdr:colOff>
      <xdr:row>31</xdr:row>
      <xdr:rowOff>0</xdr:rowOff>
    </xdr:to>
    <xdr:sp macro="" textlink="">
      <xdr:nvSpPr>
        <xdr:cNvPr id="3441057" name="Line 8"/>
        <xdr:cNvSpPr>
          <a:spLocks noChangeShapeType="1"/>
        </xdr:cNvSpPr>
      </xdr:nvSpPr>
      <xdr:spPr bwMode="auto">
        <a:xfrm>
          <a:off x="3954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640080</xdr:colOff>
      <xdr:row>31</xdr:row>
      <xdr:rowOff>0</xdr:rowOff>
    </xdr:from>
    <xdr:to>
      <xdr:col>5</xdr:col>
      <xdr:colOff>640080</xdr:colOff>
      <xdr:row>31</xdr:row>
      <xdr:rowOff>0</xdr:rowOff>
    </xdr:to>
    <xdr:sp macro="" textlink="">
      <xdr:nvSpPr>
        <xdr:cNvPr id="3441058" name="Line 9"/>
        <xdr:cNvSpPr>
          <a:spLocks noChangeShapeType="1"/>
        </xdr:cNvSpPr>
      </xdr:nvSpPr>
      <xdr:spPr bwMode="auto">
        <a:xfrm>
          <a:off x="729234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163</xdr:row>
      <xdr:rowOff>0</xdr:rowOff>
    </xdr:from>
    <xdr:to>
      <xdr:col>6</xdr:col>
      <xdr:colOff>1333500</xdr:colOff>
      <xdr:row>163</xdr:row>
      <xdr:rowOff>899160</xdr:rowOff>
    </xdr:to>
    <xdr:graphicFrame macro="">
      <xdr:nvGraphicFramePr>
        <xdr:cNvPr id="344105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165</xdr:row>
      <xdr:rowOff>7620</xdr:rowOff>
    </xdr:from>
    <xdr:to>
      <xdr:col>6</xdr:col>
      <xdr:colOff>1341120</xdr:colOff>
      <xdr:row>166</xdr:row>
      <xdr:rowOff>388620</xdr:rowOff>
    </xdr:to>
    <xdr:graphicFrame macro="">
      <xdr:nvGraphicFramePr>
        <xdr:cNvPr id="344106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0</xdr:row>
      <xdr:rowOff>66675</xdr:rowOff>
    </xdr:from>
    <xdr:to>
      <xdr:col>6</xdr:col>
      <xdr:colOff>1293099</xdr:colOff>
      <xdr:row>0</xdr:row>
      <xdr:rowOff>533400</xdr:rowOff>
    </xdr:to>
    <xdr:sp macro="" textlink="">
      <xdr:nvSpPr>
        <xdr:cNvPr id="63612" name="Testo 1"/>
        <xdr:cNvSpPr>
          <a:spLocks noChangeArrowheads="1"/>
        </xdr:cNvSpPr>
      </xdr:nvSpPr>
      <xdr:spPr bwMode="auto">
        <a:xfrm>
          <a:off x="352425" y="66675"/>
          <a:ext cx="9763125" cy="466725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1" i="0" strike="noStrike">
              <a:solidFill>
                <a:srgbClr val="000000"/>
              </a:solidFill>
              <a:latin typeface="Arial"/>
              <a:cs typeface="Arial"/>
            </a:rPr>
            <a:t>Scheda Informativa 1: INFORMAZIONI  DI CARATTERE GENERALE</a:t>
          </a:r>
        </a:p>
      </xdr:txBody>
    </xdr:sp>
    <xdr:clientData/>
  </xdr:twoCellAnchor>
  <xdr:twoCellAnchor>
    <xdr:from>
      <xdr:col>3</xdr:col>
      <xdr:colOff>563880</xdr:colOff>
      <xdr:row>37</xdr:row>
      <xdr:rowOff>0</xdr:rowOff>
    </xdr:from>
    <xdr:to>
      <xdr:col>3</xdr:col>
      <xdr:colOff>563880</xdr:colOff>
      <xdr:row>37</xdr:row>
      <xdr:rowOff>0</xdr:rowOff>
    </xdr:to>
    <xdr:sp macro="" textlink="">
      <xdr:nvSpPr>
        <xdr:cNvPr id="3441062" name="Line 8"/>
        <xdr:cNvSpPr>
          <a:spLocks noChangeShapeType="1"/>
        </xdr:cNvSpPr>
      </xdr:nvSpPr>
      <xdr:spPr bwMode="auto">
        <a:xfrm>
          <a:off x="3954780" y="78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640080</xdr:colOff>
      <xdr:row>37</xdr:row>
      <xdr:rowOff>0</xdr:rowOff>
    </xdr:from>
    <xdr:to>
      <xdr:col>5</xdr:col>
      <xdr:colOff>640080</xdr:colOff>
      <xdr:row>37</xdr:row>
      <xdr:rowOff>0</xdr:rowOff>
    </xdr:to>
    <xdr:sp macro="" textlink="">
      <xdr:nvSpPr>
        <xdr:cNvPr id="3441063" name="Line 9"/>
        <xdr:cNvSpPr>
          <a:spLocks noChangeShapeType="1"/>
        </xdr:cNvSpPr>
      </xdr:nvSpPr>
      <xdr:spPr bwMode="auto">
        <a:xfrm>
          <a:off x="7292340" y="78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6</xdr:col>
      <xdr:colOff>9525</xdr:colOff>
      <xdr:row>1</xdr:row>
      <xdr:rowOff>295275</xdr:rowOff>
    </xdr:to>
    <xdr:sp macro="" textlink="">
      <xdr:nvSpPr>
        <xdr:cNvPr id="37889" name="Testo 13"/>
        <xdr:cNvSpPr txBox="1">
          <a:spLocks noChangeArrowheads="1"/>
        </xdr:cNvSpPr>
      </xdr:nvSpPr>
      <xdr:spPr bwMode="auto">
        <a:xfrm>
          <a:off x="9525" y="590550"/>
          <a:ext cx="558165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3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in posizione di comando/distacco e fuori ruolo al 31 dicembre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25</xdr:col>
      <xdr:colOff>47625</xdr:colOff>
      <xdr:row>1</xdr:row>
      <xdr:rowOff>295275</xdr:rowOff>
    </xdr:to>
    <xdr:sp macro="" textlink="">
      <xdr:nvSpPr>
        <xdr:cNvPr id="26625" name="Testo 9"/>
        <xdr:cNvSpPr txBox="1">
          <a:spLocks noChangeArrowheads="1"/>
        </xdr:cNvSpPr>
      </xdr:nvSpPr>
      <xdr:spPr bwMode="auto">
        <a:xfrm>
          <a:off x="9525" y="590550"/>
          <a:ext cx="79629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4 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Passaggi di qualifica / posizione economica / profilo del personale a tempo indeterminato e dirigente nel corso dell'anno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7</xdr:col>
      <xdr:colOff>577187</xdr:colOff>
      <xdr:row>1</xdr:row>
      <xdr:rowOff>285750</xdr:rowOff>
    </xdr:to>
    <xdr:sp macro="" textlink="">
      <xdr:nvSpPr>
        <xdr:cNvPr id="25601" name="Testo 13"/>
        <xdr:cNvSpPr txBox="1">
          <a:spLocks noChangeArrowheads="1"/>
        </xdr:cNvSpPr>
      </xdr:nvSpPr>
      <xdr:spPr bwMode="auto">
        <a:xfrm>
          <a:off x="0" y="581025"/>
          <a:ext cx="67056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5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 e personale dirigente cessato dal servizio nel corso dell'anno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6</xdr:col>
      <xdr:colOff>0</xdr:colOff>
      <xdr:row>1</xdr:row>
      <xdr:rowOff>285750</xdr:rowOff>
    </xdr:to>
    <xdr:sp macro="" textlink="">
      <xdr:nvSpPr>
        <xdr:cNvPr id="24577" name="Testo 13"/>
        <xdr:cNvSpPr txBox="1">
          <a:spLocks noChangeArrowheads="1"/>
        </xdr:cNvSpPr>
      </xdr:nvSpPr>
      <xdr:spPr bwMode="auto">
        <a:xfrm>
          <a:off x="0" y="581025"/>
          <a:ext cx="6429375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6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 Personale a tempo indeterminato e personale dirigente assunto in servizio nel corso dell'anno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223055</xdr:colOff>
      <xdr:row>1</xdr:row>
      <xdr:rowOff>295275</xdr:rowOff>
    </xdr:to>
    <xdr:sp macro="" textlink="">
      <xdr:nvSpPr>
        <xdr:cNvPr id="23553" name="Testo 13"/>
        <xdr:cNvSpPr txBox="1">
          <a:spLocks noChangeArrowheads="1"/>
        </xdr:cNvSpPr>
      </xdr:nvSpPr>
      <xdr:spPr bwMode="auto">
        <a:xfrm>
          <a:off x="0" y="600075"/>
          <a:ext cx="7286625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7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anzianità di servizio al 31 dicembre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12</xdr:col>
      <xdr:colOff>36198</xdr:colOff>
      <xdr:row>1</xdr:row>
      <xdr:rowOff>266700</xdr:rowOff>
    </xdr:to>
    <xdr:sp macro="" textlink="">
      <xdr:nvSpPr>
        <xdr:cNvPr id="22529" name="Testo 13"/>
        <xdr:cNvSpPr txBox="1">
          <a:spLocks noChangeArrowheads="1"/>
        </xdr:cNvSpPr>
      </xdr:nvSpPr>
      <xdr:spPr bwMode="auto">
        <a:xfrm>
          <a:off x="0" y="581025"/>
          <a:ext cx="7743825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8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età al 31 dicembre 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7</xdr:col>
      <xdr:colOff>685807</xdr:colOff>
      <xdr:row>2</xdr:row>
      <xdr:rowOff>295275</xdr:rowOff>
    </xdr:to>
    <xdr:sp macro="" textlink="">
      <xdr:nvSpPr>
        <xdr:cNvPr id="21505" name="Testo 2"/>
        <xdr:cNvSpPr txBox="1">
          <a:spLocks noChangeArrowheads="1"/>
        </xdr:cNvSpPr>
      </xdr:nvSpPr>
      <xdr:spPr bwMode="auto">
        <a:xfrm>
          <a:off x="0" y="657225"/>
          <a:ext cx="7781925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9 -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distribuito per titolo di studio posseduto al 31 dicembre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14</xdr:col>
      <xdr:colOff>0</xdr:colOff>
      <xdr:row>1</xdr:row>
      <xdr:rowOff>295275</xdr:rowOff>
    </xdr:to>
    <xdr:sp macro="" textlink="">
      <xdr:nvSpPr>
        <xdr:cNvPr id="35842" name="Testo 9"/>
        <xdr:cNvSpPr txBox="1">
          <a:spLocks noChangeArrowheads="1"/>
        </xdr:cNvSpPr>
      </xdr:nvSpPr>
      <xdr:spPr bwMode="auto">
        <a:xfrm>
          <a:off x="2619375" y="590550"/>
          <a:ext cx="5372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  <xdr:twoCellAnchor>
    <xdr:from>
      <xdr:col>26</xdr:col>
      <xdr:colOff>0</xdr:colOff>
      <xdr:row>1</xdr:row>
      <xdr:rowOff>38100</xdr:rowOff>
    </xdr:from>
    <xdr:to>
      <xdr:col>37</xdr:col>
      <xdr:colOff>34310</xdr:colOff>
      <xdr:row>1</xdr:row>
      <xdr:rowOff>295275</xdr:rowOff>
    </xdr:to>
    <xdr:sp macro="" textlink="">
      <xdr:nvSpPr>
        <xdr:cNvPr id="35847" name="Testo 9"/>
        <xdr:cNvSpPr txBox="1">
          <a:spLocks noChangeArrowheads="1"/>
        </xdr:cNvSpPr>
      </xdr:nvSpPr>
      <xdr:spPr bwMode="auto">
        <a:xfrm>
          <a:off x="13363575" y="590550"/>
          <a:ext cx="5372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36</xdr:col>
      <xdr:colOff>564067</xdr:colOff>
      <xdr:row>1</xdr:row>
      <xdr:rowOff>285750</xdr:rowOff>
    </xdr:to>
    <xdr:sp macro="" textlink="">
      <xdr:nvSpPr>
        <xdr:cNvPr id="60417" name="Testo 3"/>
        <xdr:cNvSpPr txBox="1">
          <a:spLocks noChangeArrowheads="1"/>
        </xdr:cNvSpPr>
      </xdr:nvSpPr>
      <xdr:spPr bwMode="auto">
        <a:xfrm>
          <a:off x="0" y="577215"/>
          <a:ext cx="515874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11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- Numero giorni di assenza del personale in servizio nel corso dell'anno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31</xdr:col>
      <xdr:colOff>0</xdr:colOff>
      <xdr:row>1</xdr:row>
      <xdr:rowOff>276225</xdr:rowOff>
    </xdr:to>
    <xdr:sp macro="" textlink="">
      <xdr:nvSpPr>
        <xdr:cNvPr id="32769" name="Testo 3"/>
        <xdr:cNvSpPr txBox="1">
          <a:spLocks noChangeArrowheads="1"/>
        </xdr:cNvSpPr>
      </xdr:nvSpPr>
      <xdr:spPr bwMode="auto">
        <a:xfrm>
          <a:off x="0" y="457200"/>
          <a:ext cx="6431280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12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 per voci retributive a carattere "stipendiale" corrisposte al personale  in servizio (*)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104775</xdr:rowOff>
    </xdr:from>
    <xdr:to>
      <xdr:col>6</xdr:col>
      <xdr:colOff>1139038</xdr:colOff>
      <xdr:row>0</xdr:row>
      <xdr:rowOff>609600</xdr:rowOff>
    </xdr:to>
    <xdr:sp macro="" textlink="">
      <xdr:nvSpPr>
        <xdr:cNvPr id="65537" name="Testo 1"/>
        <xdr:cNvSpPr>
          <a:spLocks noChangeArrowheads="1"/>
        </xdr:cNvSpPr>
      </xdr:nvSpPr>
      <xdr:spPr bwMode="auto">
        <a:xfrm>
          <a:off x="400050" y="104775"/>
          <a:ext cx="8810625" cy="504825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1" i="0" strike="noStrike">
              <a:solidFill>
                <a:srgbClr val="000000"/>
              </a:solidFill>
              <a:latin typeface="Arial"/>
              <a:cs typeface="Arial"/>
            </a:rPr>
            <a:t>SCHEDA INFORMATIVA 1 : APPENDICE GESTIONE DATI CO.CO.CO.</a:t>
          </a:r>
        </a:p>
        <a:p>
          <a:pPr algn="ctr" rtl="0">
            <a:defRPr sz="1000"/>
          </a:pPr>
          <a:endParaRPr lang="it-IT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 fLocksText="0">
      <xdr:nvSpPr>
        <xdr:cNvPr id="3150365" name="Text Box 5"/>
        <xdr:cNvSpPr txBox="1">
          <a:spLocks noChangeArrowheads="1"/>
        </xdr:cNvSpPr>
      </xdr:nvSpPr>
      <xdr:spPr bwMode="auto">
        <a:xfrm>
          <a:off x="7459980" y="171450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 fLocksText="0">
      <xdr:nvSpPr>
        <xdr:cNvPr id="3150366" name="Text Box 7"/>
        <xdr:cNvSpPr txBox="1">
          <a:spLocks noChangeArrowheads="1"/>
        </xdr:cNvSpPr>
      </xdr:nvSpPr>
      <xdr:spPr bwMode="auto">
        <a:xfrm>
          <a:off x="7459980" y="171450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38</xdr:col>
      <xdr:colOff>423093</xdr:colOff>
      <xdr:row>1</xdr:row>
      <xdr:rowOff>276225</xdr:rowOff>
    </xdr:to>
    <xdr:sp macro="" textlink="">
      <xdr:nvSpPr>
        <xdr:cNvPr id="31745" name="Testo 3"/>
        <xdr:cNvSpPr txBox="1">
          <a:spLocks noChangeArrowheads="1"/>
        </xdr:cNvSpPr>
      </xdr:nvSpPr>
      <xdr:spPr bwMode="auto">
        <a:xfrm>
          <a:off x="0" y="504825"/>
          <a:ext cx="6233160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13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per indennità e compensi accessori corrisposti  al personale  in servizio (*)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4351095</xdr:colOff>
      <xdr:row>1</xdr:row>
      <xdr:rowOff>266700</xdr:rowOff>
    </xdr:to>
    <xdr:sp macro="" textlink="">
      <xdr:nvSpPr>
        <xdr:cNvPr id="41986" name="Testo 4"/>
        <xdr:cNvSpPr txBox="1">
          <a:spLocks noChangeArrowheads="1"/>
        </xdr:cNvSpPr>
      </xdr:nvSpPr>
      <xdr:spPr bwMode="auto">
        <a:xfrm>
          <a:off x="0" y="590550"/>
          <a:ext cx="4667250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14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Altri oneri che concorrono a formare il costo del lavoro  (*)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24982</xdr:rowOff>
    </xdr:from>
    <xdr:to>
      <xdr:col>3</xdr:col>
      <xdr:colOff>0</xdr:colOff>
      <xdr:row>1</xdr:row>
      <xdr:rowOff>411173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66002"/>
          <a:ext cx="5705475" cy="39746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</a:t>
          </a:r>
          <a:r>
            <a:rPr lang="it-IT" sz="12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15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DIRIGENTI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23866</xdr:rowOff>
    </xdr:from>
    <xdr:to>
      <xdr:col>3</xdr:col>
      <xdr:colOff>0</xdr:colOff>
      <xdr:row>1</xdr:row>
      <xdr:rowOff>419360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64886"/>
          <a:ext cx="5705475" cy="40673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PERSONALE NON DIRIGENTE     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4351095</xdr:colOff>
      <xdr:row>1</xdr:row>
      <xdr:rowOff>266700</xdr:rowOff>
    </xdr:to>
    <xdr:sp macro="" textlink="">
      <xdr:nvSpPr>
        <xdr:cNvPr id="2" name="Testo 4"/>
        <xdr:cNvSpPr txBox="1">
          <a:spLocks noChangeArrowheads="1"/>
        </xdr:cNvSpPr>
      </xdr:nvSpPr>
      <xdr:spPr bwMode="auto">
        <a:xfrm>
          <a:off x="0" y="586740"/>
          <a:ext cx="4352966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RICONCILIAZIONE</a:t>
          </a:r>
          <a:endParaRPr lang="it-IT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7105" name="Testo 4"/>
        <xdr:cNvSpPr txBox="1">
          <a:spLocks noChangeArrowheads="1"/>
        </xdr:cNvSpPr>
      </xdr:nvSpPr>
      <xdr:spPr bwMode="auto">
        <a:xfrm>
          <a:off x="892492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7108" name="Testo 2"/>
        <xdr:cNvSpPr>
          <a:spLocks noChangeArrowheads="1"/>
        </xdr:cNvSpPr>
      </xdr:nvSpPr>
      <xdr:spPr bwMode="auto">
        <a:xfrm>
          <a:off x="8924925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8129" name="Testo 4"/>
        <xdr:cNvSpPr txBox="1">
          <a:spLocks noChangeArrowheads="1"/>
        </xdr:cNvSpPr>
      </xdr:nvSpPr>
      <xdr:spPr bwMode="auto">
        <a:xfrm>
          <a:off x="1145857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8132" name="Testo 2"/>
        <xdr:cNvSpPr>
          <a:spLocks noChangeArrowheads="1"/>
        </xdr:cNvSpPr>
      </xdr:nvSpPr>
      <xdr:spPr bwMode="auto">
        <a:xfrm>
          <a:off x="11458575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9153" name="Testo 4"/>
        <xdr:cNvSpPr txBox="1">
          <a:spLocks noChangeArrowheads="1"/>
        </xdr:cNvSpPr>
      </xdr:nvSpPr>
      <xdr:spPr bwMode="auto">
        <a:xfrm>
          <a:off x="745807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9156" name="Testo 2"/>
        <xdr:cNvSpPr>
          <a:spLocks noChangeArrowheads="1"/>
        </xdr:cNvSpPr>
      </xdr:nvSpPr>
      <xdr:spPr bwMode="auto">
        <a:xfrm>
          <a:off x="7458075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1201" name="Testo 4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  <a:p>
          <a:pPr algn="ctr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1204" name="Testo 2"/>
        <xdr:cNvSpPr>
          <a:spLocks noChangeArrowheads="1"/>
        </xdr:cNvSpPr>
      </xdr:nvSpPr>
      <xdr:spPr bwMode="auto">
        <a:xfrm>
          <a:off x="6305550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Testo 4"/>
        <xdr:cNvSpPr txBox="1">
          <a:spLocks noChangeArrowheads="1"/>
        </xdr:cNvSpPr>
      </xdr:nvSpPr>
      <xdr:spPr bwMode="auto">
        <a:xfrm>
          <a:off x="83058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  <a:p>
          <a:pPr algn="ctr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sto 2"/>
        <xdr:cNvSpPr>
          <a:spLocks noChangeArrowheads="1"/>
        </xdr:cNvSpPr>
      </xdr:nvSpPr>
      <xdr:spPr bwMode="auto">
        <a:xfrm>
          <a:off x="8305800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</xdr:colOff>
      <xdr:row>0</xdr:row>
      <xdr:rowOff>104774</xdr:rowOff>
    </xdr:from>
    <xdr:to>
      <xdr:col>6</xdr:col>
      <xdr:colOff>946767</xdr:colOff>
      <xdr:row>0</xdr:row>
      <xdr:rowOff>644774</xdr:rowOff>
    </xdr:to>
    <xdr:sp macro="" textlink="">
      <xdr:nvSpPr>
        <xdr:cNvPr id="2" name="Testo 1"/>
        <xdr:cNvSpPr>
          <a:spLocks noChangeArrowheads="1"/>
        </xdr:cNvSpPr>
      </xdr:nvSpPr>
      <xdr:spPr bwMode="auto">
        <a:xfrm>
          <a:off x="367664" y="104774"/>
          <a:ext cx="8053248" cy="540000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1" i="0" strike="noStrike">
              <a:solidFill>
                <a:srgbClr val="000000"/>
              </a:solidFill>
              <a:latin typeface="Arial"/>
              <a:cs typeface="Arial"/>
            </a:rPr>
            <a:t>SCHEDA INFORMATIVA 1A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 fLocksText="0">
      <xdr:nvSpPr>
        <xdr:cNvPr id="3302777" name="Text Box 2"/>
        <xdr:cNvSpPr txBox="1">
          <a:spLocks noChangeArrowheads="1"/>
        </xdr:cNvSpPr>
      </xdr:nvSpPr>
      <xdr:spPr bwMode="auto">
        <a:xfrm>
          <a:off x="7459980" y="111252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 fLocksText="0">
      <xdr:nvSpPr>
        <xdr:cNvPr id="3302778" name="Text Box 3"/>
        <xdr:cNvSpPr txBox="1">
          <a:spLocks noChangeArrowheads="1"/>
        </xdr:cNvSpPr>
      </xdr:nvSpPr>
      <xdr:spPr bwMode="auto">
        <a:xfrm>
          <a:off x="7459980" y="111252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104775</xdr:rowOff>
    </xdr:from>
    <xdr:to>
      <xdr:col>6</xdr:col>
      <xdr:colOff>911944</xdr:colOff>
      <xdr:row>0</xdr:row>
      <xdr:rowOff>644775</xdr:rowOff>
    </xdr:to>
    <xdr:sp macro="" textlink="">
      <xdr:nvSpPr>
        <xdr:cNvPr id="2" name="Testo 1"/>
        <xdr:cNvSpPr>
          <a:spLocks noChangeArrowheads="1"/>
        </xdr:cNvSpPr>
      </xdr:nvSpPr>
      <xdr:spPr bwMode="auto">
        <a:xfrm>
          <a:off x="375286" y="104775"/>
          <a:ext cx="8050730" cy="540000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1" i="0" strike="noStrike">
              <a:solidFill>
                <a:srgbClr val="000000"/>
              </a:solidFill>
              <a:latin typeface="Arial"/>
              <a:cs typeface="Arial"/>
            </a:rPr>
            <a:t>SCHEDA INFORMATIVA 1A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 fLocksText="0">
      <xdr:nvSpPr>
        <xdr:cNvPr id="3318138" name="Text Box 2"/>
        <xdr:cNvSpPr txBox="1">
          <a:spLocks noChangeArrowheads="1"/>
        </xdr:cNvSpPr>
      </xdr:nvSpPr>
      <xdr:spPr bwMode="auto">
        <a:xfrm>
          <a:off x="7459980" y="111252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 fLocksText="0">
      <xdr:nvSpPr>
        <xdr:cNvPr id="3318139" name="Text Box 3"/>
        <xdr:cNvSpPr txBox="1">
          <a:spLocks noChangeArrowheads="1"/>
        </xdr:cNvSpPr>
      </xdr:nvSpPr>
      <xdr:spPr bwMode="auto">
        <a:xfrm>
          <a:off x="7459980" y="111252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</xdr:colOff>
      <xdr:row>0</xdr:row>
      <xdr:rowOff>104775</xdr:rowOff>
    </xdr:from>
    <xdr:to>
      <xdr:col>6</xdr:col>
      <xdr:colOff>921252</xdr:colOff>
      <xdr:row>0</xdr:row>
      <xdr:rowOff>644775</xdr:rowOff>
    </xdr:to>
    <xdr:sp macro="" textlink="">
      <xdr:nvSpPr>
        <xdr:cNvPr id="2" name="Testo 1"/>
        <xdr:cNvSpPr>
          <a:spLocks noChangeArrowheads="1"/>
        </xdr:cNvSpPr>
      </xdr:nvSpPr>
      <xdr:spPr bwMode="auto">
        <a:xfrm>
          <a:off x="379094" y="104775"/>
          <a:ext cx="8050801" cy="540000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1" i="0" strike="noStrike">
              <a:solidFill>
                <a:srgbClr val="000000"/>
              </a:solidFill>
              <a:latin typeface="Arial"/>
              <a:cs typeface="Arial"/>
            </a:rPr>
            <a:t>SCHEDA INFORMATIVA 1A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 fLocksText="0">
      <xdr:nvSpPr>
        <xdr:cNvPr id="3347770" name="Text Box 2"/>
        <xdr:cNvSpPr txBox="1">
          <a:spLocks noChangeArrowheads="1"/>
        </xdr:cNvSpPr>
      </xdr:nvSpPr>
      <xdr:spPr bwMode="auto">
        <a:xfrm>
          <a:off x="7459980" y="111252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 fLocksText="0">
      <xdr:nvSpPr>
        <xdr:cNvPr id="3347771" name="Text Box 3"/>
        <xdr:cNvSpPr txBox="1">
          <a:spLocks noChangeArrowheads="1"/>
        </xdr:cNvSpPr>
      </xdr:nvSpPr>
      <xdr:spPr bwMode="auto">
        <a:xfrm>
          <a:off x="7459980" y="111252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104774</xdr:rowOff>
    </xdr:from>
    <xdr:to>
      <xdr:col>5</xdr:col>
      <xdr:colOff>195529</xdr:colOff>
      <xdr:row>0</xdr:row>
      <xdr:rowOff>468669</xdr:rowOff>
    </xdr:to>
    <xdr:sp macro="" textlink="">
      <xdr:nvSpPr>
        <xdr:cNvPr id="2" name="Testo 1"/>
        <xdr:cNvSpPr>
          <a:spLocks noChangeArrowheads="1"/>
        </xdr:cNvSpPr>
      </xdr:nvSpPr>
      <xdr:spPr bwMode="auto">
        <a:xfrm>
          <a:off x="375286" y="104774"/>
          <a:ext cx="5851525" cy="363895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1" i="0" strike="noStrike">
              <a:solidFill>
                <a:srgbClr val="000000"/>
              </a:solidFill>
              <a:latin typeface="Arial"/>
              <a:cs typeface="Arial"/>
            </a:rPr>
            <a:t>SCHEDA INFORMATIVA 1A_CONV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30</xdr:col>
      <xdr:colOff>653393</xdr:colOff>
      <xdr:row>1</xdr:row>
      <xdr:rowOff>276225</xdr:rowOff>
    </xdr:to>
    <xdr:sp macro="" textlink="">
      <xdr:nvSpPr>
        <xdr:cNvPr id="2057" name="Testo 9"/>
        <xdr:cNvSpPr txBox="1">
          <a:spLocks noChangeArrowheads="1"/>
        </xdr:cNvSpPr>
      </xdr:nvSpPr>
      <xdr:spPr bwMode="auto">
        <a:xfrm>
          <a:off x="9525" y="340995"/>
          <a:ext cx="6094095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in servizio al 31 dicembre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29</xdr:col>
      <xdr:colOff>564094</xdr:colOff>
      <xdr:row>1</xdr:row>
      <xdr:rowOff>295275</xdr:rowOff>
    </xdr:to>
    <xdr:sp macro="" textlink="">
      <xdr:nvSpPr>
        <xdr:cNvPr id="28674" name="Testo 9"/>
        <xdr:cNvSpPr txBox="1">
          <a:spLocks noChangeArrowheads="1"/>
        </xdr:cNvSpPr>
      </xdr:nvSpPr>
      <xdr:spPr bwMode="auto">
        <a:xfrm>
          <a:off x="0" y="586740"/>
          <a:ext cx="410718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con contratto o modalità di lavoro flessibile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161925</xdr:rowOff>
    </xdr:from>
    <xdr:to>
      <xdr:col>11</xdr:col>
      <xdr:colOff>0</xdr:colOff>
      <xdr:row>3</xdr:row>
      <xdr:rowOff>120015</xdr:rowOff>
    </xdr:to>
    <xdr:sp macro="" textlink="">
      <xdr:nvSpPr>
        <xdr:cNvPr id="74753" name="Testo 9"/>
        <xdr:cNvSpPr txBox="1">
          <a:spLocks noChangeArrowheads="1"/>
        </xdr:cNvSpPr>
      </xdr:nvSpPr>
      <xdr:spPr bwMode="auto">
        <a:xfrm>
          <a:off x="361950" y="590550"/>
          <a:ext cx="584835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2A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Distribuzione del personale a tempo determinato e co.co.co. per anzianità di rapporto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Condivisa\Kit\CA\Campione%20da%20RAL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Users\gianluca.antonelli\AppData\Local\Temp\Temp1_Nuova_RALN_REGIONI%20E%20AUT_LOC_%20(CCNL%20NAZ_).zip\Copia3%20di%20RALN_REGIONI%20E%20AUT_LOC_%20(CCNL%20NAZ_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Users\giovanni.crescenzi\AppData\Local\Microsoft\Windows\Temporary%20Internet%20Files\Content.Outlook\FEDXD73J\2017-04-20_RALN_Gianluca%20-%20excel%20vecchi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_1"/>
      <sheetName val="COCOCO"/>
      <sheetName val="SI_1A(COMUNI-PROVINCE)"/>
      <sheetName val="SI_1A(UNIONE_COMUNI)"/>
      <sheetName val="SI_1A(COMUNITA_MONTANE)"/>
      <sheetName val="SI_2(1)"/>
      <sheetName val="SI_2(2)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7"/>
      <sheetName val="Incongruenza 1"/>
      <sheetName val="Incongruenza 2"/>
      <sheetName val="Incongruenza 3"/>
      <sheetName val="Incongruenza 4 e controlli t14"/>
      <sheetName val="Incongruenza 5"/>
      <sheetName val="Incongruenza 6"/>
      <sheetName val="Incongruenza 7"/>
      <sheetName val="Incongruenza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I_1"/>
      <sheetName val="COCOCO"/>
      <sheetName val="SI_1A(COMUNI-PROVINCE)"/>
      <sheetName val="SI_1A(UNIONE_COMUNI)"/>
      <sheetName val="SI_1A(COMUNITA_MONTANE)"/>
      <sheetName val="SI_2(1)"/>
      <sheetName val="SI_2(2)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7"/>
      <sheetName val="Incongruenza 1"/>
      <sheetName val="Incongruenza 2"/>
      <sheetName val="Incongruenza 3"/>
      <sheetName val="Incongruenza 4 e controlli t14"/>
      <sheetName val="Incongruenza 5"/>
      <sheetName val="Incongruenza 6"/>
      <sheetName val="Incongruenza 7"/>
      <sheetName val="Incongruenza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15(1)"/>
      <sheetName val="t15(2)"/>
      <sheetName val="SICI(1)"/>
      <sheetName val="SICI(2)"/>
      <sheetName val="t1"/>
      <sheetName val="t12"/>
      <sheetName val="Foglio1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8">
    <pageSetUpPr fitToPage="1"/>
  </sheetPr>
  <dimension ref="A1:K317"/>
  <sheetViews>
    <sheetView showGridLines="0" zoomScale="75" zoomScaleNormal="75" workbookViewId="0">
      <selection activeCell="E10" sqref="E10:G10"/>
    </sheetView>
  </sheetViews>
  <sheetFormatPr defaultColWidth="6.28515625" defaultRowHeight="13.2"/>
  <cols>
    <col min="1" max="1" width="6.7109375" style="371" customWidth="1"/>
    <col min="2" max="2" width="25.85546875" style="369" customWidth="1"/>
    <col min="3" max="3" width="31" style="369" customWidth="1"/>
    <col min="4" max="4" width="20.42578125" style="369" customWidth="1"/>
    <col min="5" max="5" width="40.7109375" style="369" customWidth="1"/>
    <col min="6" max="6" width="29" style="369" customWidth="1"/>
    <col min="7" max="7" width="26" style="369" customWidth="1"/>
    <col min="8" max="10" width="5.28515625" style="343" hidden="1" customWidth="1"/>
    <col min="11" max="11" width="38.85546875" style="343" customWidth="1"/>
    <col min="12" max="16384" width="6.28515625" style="343"/>
  </cols>
  <sheetData>
    <row r="1" spans="1:11" ht="57.75" customHeight="1">
      <c r="A1" s="491" t="s">
        <v>373</v>
      </c>
    </row>
    <row r="2" spans="1:11" s="344" customFormat="1" ht="20.25" hidden="1" customHeight="1">
      <c r="A2" s="492" t="s">
        <v>77</v>
      </c>
      <c r="B2" s="370"/>
      <c r="C2" s="1320"/>
      <c r="D2" s="1320"/>
      <c r="E2" s="1320"/>
      <c r="F2" s="1320"/>
      <c r="G2" s="370"/>
    </row>
    <row r="3" spans="1:11" s="344" customFormat="1" ht="27" customHeight="1">
      <c r="A3" s="400"/>
      <c r="B3" s="473"/>
      <c r="C3" s="1327" t="str">
        <f>'t1'!A1</f>
        <v>COMPARTO REGIONI ED AUTONOMIE LOCALI - anno 2017</v>
      </c>
      <c r="D3" s="1327"/>
      <c r="E3" s="1327"/>
      <c r="F3" s="1327"/>
      <c r="G3" s="370"/>
    </row>
    <row r="4" spans="1:11" hidden="1">
      <c r="C4" s="372"/>
      <c r="D4" s="372"/>
      <c r="E4" s="372"/>
      <c r="F4" s="372"/>
      <c r="H4" s="345"/>
    </row>
    <row r="5" spans="1:11">
      <c r="E5" s="371"/>
      <c r="H5" s="345"/>
    </row>
    <row r="6" spans="1:11" ht="18" customHeight="1">
      <c r="B6" s="1328" t="s">
        <v>510</v>
      </c>
      <c r="C6" s="1329"/>
      <c r="D6" s="1329"/>
      <c r="E6" s="1329"/>
      <c r="F6" s="1329"/>
      <c r="G6" s="1330"/>
    </row>
    <row r="7" spans="1:11" ht="6" customHeight="1"/>
    <row r="8" spans="1:11" ht="19.5" hidden="1" customHeight="1">
      <c r="A8" s="401"/>
      <c r="B8" s="369" t="s">
        <v>299</v>
      </c>
      <c r="D8" s="373"/>
      <c r="E8" s="1321"/>
      <c r="F8" s="1322"/>
      <c r="G8" s="1323"/>
    </row>
    <row r="9" spans="1:11" ht="29.1" hidden="1" customHeight="1">
      <c r="A9" s="401" t="s">
        <v>347</v>
      </c>
      <c r="B9" s="346" t="s">
        <v>300</v>
      </c>
      <c r="C9" s="346"/>
      <c r="D9" s="373"/>
      <c r="E9" s="1324"/>
      <c r="F9" s="1325"/>
      <c r="G9" s="1326"/>
      <c r="K9" s="493" t="str">
        <f>IF(LEN(E9)=0,"E' NECESSARIO INSERIRE IL CODICE FISCALE DELL'ENTE","")</f>
        <v>E' NECESSARIO INSERIRE IL CODICE FISCALE DELL'ENTE</v>
      </c>
    </row>
    <row r="10" spans="1:11" ht="29.1" customHeight="1">
      <c r="A10" s="401"/>
      <c r="B10" s="346" t="s">
        <v>301</v>
      </c>
      <c r="C10" s="346"/>
      <c r="D10" s="373"/>
      <c r="E10" s="1321" t="s">
        <v>1112</v>
      </c>
      <c r="F10" s="1322"/>
      <c r="G10" s="1323"/>
      <c r="K10" s="493"/>
    </row>
    <row r="11" spans="1:11" ht="29.1" customHeight="1">
      <c r="A11" s="401"/>
      <c r="B11" s="346" t="s">
        <v>302</v>
      </c>
      <c r="C11" s="346"/>
      <c r="D11" s="373"/>
      <c r="E11" s="1321" t="s">
        <v>1113</v>
      </c>
      <c r="F11" s="1322"/>
      <c r="G11" s="1323"/>
      <c r="K11" s="493"/>
    </row>
    <row r="12" spans="1:11" ht="29.1" customHeight="1">
      <c r="A12" s="401"/>
      <c r="B12" s="346" t="s">
        <v>303</v>
      </c>
      <c r="C12" s="346"/>
      <c r="D12" s="373"/>
      <c r="E12" s="1331" t="s">
        <v>1114</v>
      </c>
      <c r="F12" s="1332"/>
      <c r="G12" s="1333"/>
      <c r="K12" s="493"/>
    </row>
    <row r="13" spans="1:11" ht="29.1" hidden="1" customHeight="1">
      <c r="A13" s="401" t="s">
        <v>347</v>
      </c>
      <c r="B13" s="346" t="s">
        <v>304</v>
      </c>
      <c r="C13" s="684"/>
      <c r="D13" s="685"/>
      <c r="E13" s="686"/>
      <c r="F13" s="687"/>
      <c r="G13" s="688"/>
      <c r="H13" s="580"/>
      <c r="I13" s="581"/>
      <c r="J13" s="565"/>
      <c r="K13" s="582" t="str">
        <f>IF(AND(LEN(C13)&gt;0,LEN(D13)&gt;0,LEN(E13)&gt;0,LEN(F13)&gt;0,LEN(G13)&gt;0),"","E' NECESSARIO COMPILARE TUTTI I DATI DELL'INDIRIZZO")</f>
        <v>E' NECESSARIO COMPILARE TUTTI I DATI DELL'INDIRIZZO</v>
      </c>
    </row>
    <row r="14" spans="1:11" s="348" customFormat="1" ht="20.25" hidden="1" customHeight="1">
      <c r="A14" s="401"/>
      <c r="B14" s="347"/>
      <c r="C14" s="374" t="s">
        <v>305</v>
      </c>
      <c r="D14" s="375" t="s">
        <v>362</v>
      </c>
      <c r="E14" s="374" t="s">
        <v>306</v>
      </c>
      <c r="F14" s="374" t="s">
        <v>426</v>
      </c>
      <c r="G14" s="374"/>
    </row>
    <row r="15" spans="1:11" s="520" customFormat="1" ht="29.1" customHeight="1">
      <c r="A15" s="369"/>
      <c r="B15" s="346" t="s">
        <v>81</v>
      </c>
      <c r="C15" s="519"/>
      <c r="D15" s="1345" t="s">
        <v>1115</v>
      </c>
      <c r="E15" s="1346"/>
      <c r="F15" s="1346"/>
      <c r="G15" s="1347"/>
    </row>
    <row r="16" spans="1:11" ht="18" customHeight="1">
      <c r="A16" s="401"/>
      <c r="B16" s="1328" t="s">
        <v>478</v>
      </c>
      <c r="C16" s="1329"/>
      <c r="D16" s="1329"/>
      <c r="E16" s="1329"/>
      <c r="F16" s="1329"/>
      <c r="G16" s="1330"/>
    </row>
    <row r="17" spans="1:11" s="349" customFormat="1" ht="15" customHeight="1">
      <c r="A17" s="401"/>
      <c r="B17" s="376" t="s">
        <v>307</v>
      </c>
      <c r="C17" s="743"/>
      <c r="D17" s="743"/>
      <c r="E17" s="743"/>
      <c r="F17" s="743"/>
      <c r="G17" s="743"/>
    </row>
    <row r="18" spans="1:11" s="349" customFormat="1" ht="15">
      <c r="A18" s="401"/>
      <c r="B18" s="378" t="s">
        <v>308</v>
      </c>
      <c r="C18" s="378"/>
      <c r="D18" s="378" t="s">
        <v>309</v>
      </c>
      <c r="E18" s="378"/>
      <c r="F18" s="379" t="s">
        <v>353</v>
      </c>
      <c r="G18" s="737"/>
    </row>
    <row r="19" spans="1:11" ht="22.5" customHeight="1">
      <c r="A19" s="401"/>
      <c r="B19" s="1321" t="s">
        <v>1116</v>
      </c>
      <c r="C19" s="1322"/>
      <c r="D19" s="1321" t="s">
        <v>1117</v>
      </c>
      <c r="E19" s="1322"/>
      <c r="F19" s="1348" t="s">
        <v>1118</v>
      </c>
      <c r="G19" s="1323"/>
      <c r="K19" s="494"/>
    </row>
    <row r="20" spans="1:11" s="349" customFormat="1" ht="15" customHeight="1">
      <c r="A20" s="401"/>
      <c r="B20" s="376" t="s">
        <v>310</v>
      </c>
      <c r="C20" s="377"/>
      <c r="D20" s="378"/>
      <c r="E20" s="378"/>
      <c r="F20" s="743"/>
      <c r="G20" s="743"/>
    </row>
    <row r="21" spans="1:11" s="349" customFormat="1" ht="15" customHeight="1">
      <c r="A21" s="401"/>
      <c r="B21" s="378" t="s">
        <v>308</v>
      </c>
      <c r="C21" s="378"/>
      <c r="D21" s="378" t="s">
        <v>309</v>
      </c>
      <c r="E21" s="378"/>
      <c r="F21" s="379" t="s">
        <v>353</v>
      </c>
      <c r="G21" s="738"/>
    </row>
    <row r="22" spans="1:11" ht="23.25" customHeight="1">
      <c r="A22" s="401"/>
      <c r="B22" s="1304"/>
      <c r="C22" s="1305"/>
      <c r="D22" s="1304"/>
      <c r="E22" s="1305"/>
      <c r="F22" s="1304"/>
      <c r="G22" s="1305"/>
      <c r="K22" s="494" t="str">
        <f>IF(OR(LEN(B22)&gt;0,LEN(D22)&gt;0),IF(LEN(F22)=0,"E' NECESSARIO COMPILARE IL CAMPO E-MAIL"," ")," ")</f>
        <v xml:space="preserve"> </v>
      </c>
    </row>
    <row r="23" spans="1:11" ht="23.25" customHeight="1">
      <c r="A23" s="401"/>
      <c r="B23" s="1304"/>
      <c r="C23" s="1305"/>
      <c r="D23" s="1304"/>
      <c r="E23" s="1305"/>
      <c r="F23" s="1304"/>
      <c r="G23" s="1305"/>
      <c r="K23" s="494" t="str">
        <f>IF(OR(LEN(B23)&gt;0,LEN(D23)&gt;0),IF(LEN(F23)=0,"E' NECESSARIO COMPILARE IL CAMPO E-MAIL"," ")," ")</f>
        <v xml:space="preserve"> </v>
      </c>
    </row>
    <row r="24" spans="1:11" ht="23.25" customHeight="1">
      <c r="A24" s="401"/>
      <c r="B24" s="1304"/>
      <c r="C24" s="1305"/>
      <c r="D24" s="1304"/>
      <c r="E24" s="1305"/>
      <c r="F24" s="1304"/>
      <c r="G24" s="1305"/>
      <c r="K24" s="494" t="str">
        <f>IF(OR(LEN(B24)&gt;0,LEN(D24)&gt;0),IF(LEN(F24)=0,"E' NECESSARIO COMPILARE IL CAMPO E-MAIL"," ")," ")</f>
        <v xml:space="preserve"> </v>
      </c>
    </row>
    <row r="25" spans="1:11" ht="23.25" customHeight="1">
      <c r="A25" s="401"/>
      <c r="B25" s="1304"/>
      <c r="C25" s="1305"/>
      <c r="D25" s="1304"/>
      <c r="E25" s="1305"/>
      <c r="F25" s="1304"/>
      <c r="G25" s="1305"/>
      <c r="K25" s="494" t="str">
        <f>IF(OR(LEN(B25)&gt;0,LEN(D25)&gt;0),IF(LEN(F25)=0,"E' NECESSARIO COMPILARE IL CAMPO E-MAIL"," ")," ")</f>
        <v xml:space="preserve"> </v>
      </c>
    </row>
    <row r="26" spans="1:11" ht="23.25" customHeight="1">
      <c r="A26" s="401"/>
      <c r="B26" s="1304"/>
      <c r="C26" s="1305"/>
      <c r="D26" s="1304"/>
      <c r="E26" s="1305"/>
      <c r="F26" s="1304"/>
      <c r="G26" s="1305"/>
      <c r="K26" s="494" t="str">
        <f>IF(OR(LEN(B26)&gt;0,LEN(D26)&gt;0),IF(LEN(F26)=0,"E' NECESSARIO COMPILARE IL CAMPO E-MAIL"," ")," ")</f>
        <v xml:space="preserve"> </v>
      </c>
    </row>
    <row r="27" spans="1:11" s="345" customFormat="1" ht="17.399999999999999">
      <c r="A27" s="401"/>
      <c r="B27" s="380"/>
      <c r="C27" s="381"/>
      <c r="D27" s="381"/>
      <c r="E27" s="382"/>
      <c r="F27" s="383"/>
      <c r="G27" s="383"/>
    </row>
    <row r="28" spans="1:11" ht="18" customHeight="1">
      <c r="A28" s="401"/>
      <c r="B28" s="385" t="s">
        <v>311</v>
      </c>
      <c r="C28" s="384"/>
      <c r="D28" s="384"/>
      <c r="E28" s="386"/>
      <c r="F28" s="387"/>
      <c r="G28" s="387"/>
      <c r="H28" s="350"/>
    </row>
    <row r="29" spans="1:11" ht="13.5" customHeight="1">
      <c r="A29" s="401"/>
      <c r="B29" s="384"/>
      <c r="C29" s="384"/>
      <c r="D29" s="384"/>
      <c r="E29" s="386"/>
      <c r="F29" s="388"/>
      <c r="G29" s="388"/>
      <c r="H29" s="350"/>
    </row>
    <row r="30" spans="1:11" ht="18" customHeight="1">
      <c r="A30" s="401"/>
      <c r="B30" s="1328" t="s">
        <v>479</v>
      </c>
      <c r="C30" s="1329"/>
      <c r="D30" s="1329"/>
      <c r="E30" s="1329"/>
      <c r="F30" s="1329"/>
      <c r="G30" s="1330"/>
      <c r="H30" s="350"/>
    </row>
    <row r="31" spans="1:11" ht="8.1" customHeight="1">
      <c r="A31" s="401"/>
      <c r="B31" s="389"/>
      <c r="E31" s="371"/>
    </row>
    <row r="32" spans="1:11" s="352" customFormat="1" ht="15.75" customHeight="1">
      <c r="A32" s="401"/>
      <c r="B32" s="928" t="s">
        <v>845</v>
      </c>
      <c r="C32" s="928"/>
      <c r="D32" s="928" t="s">
        <v>846</v>
      </c>
      <c r="E32" s="928" t="s">
        <v>847</v>
      </c>
      <c r="F32" s="929" t="s">
        <v>848</v>
      </c>
      <c r="G32" s="930" t="s">
        <v>312</v>
      </c>
    </row>
    <row r="33" spans="1:11" ht="36" customHeight="1">
      <c r="A33" s="401"/>
      <c r="B33" s="1343" t="s">
        <v>1119</v>
      </c>
      <c r="C33" s="1344"/>
      <c r="D33" s="685" t="s">
        <v>1120</v>
      </c>
      <c r="E33" s="689" t="s">
        <v>1121</v>
      </c>
      <c r="F33" s="690" t="s">
        <v>1122</v>
      </c>
      <c r="G33" s="690"/>
      <c r="K33" s="494" t="str">
        <f>IF(AND(LEN(B33)&gt;0,LEN(D33)&gt;0,LEN(E33)&gt;0,LEN(F33)&gt;0),"","COMPILARE TUTTI I DATI DEL RESPONSABILE CONTRASSEGNATI CON L'ASTERISCO")</f>
        <v/>
      </c>
    </row>
    <row r="34" spans="1:11" ht="20.25" hidden="1" customHeight="1">
      <c r="A34" s="401"/>
      <c r="B34" s="1308"/>
      <c r="C34" s="1309"/>
      <c r="D34" s="757"/>
      <c r="E34" s="495"/>
      <c r="F34" s="758"/>
      <c r="G34" s="758"/>
    </row>
    <row r="35" spans="1:11" ht="18" customHeight="1">
      <c r="A35" s="401"/>
      <c r="B35" s="346"/>
      <c r="C35" s="346"/>
      <c r="D35" s="391"/>
      <c r="E35" s="391"/>
      <c r="F35" s="371"/>
      <c r="G35" s="371"/>
    </row>
    <row r="36" spans="1:11" ht="18" customHeight="1">
      <c r="A36" s="401"/>
      <c r="B36" s="1328" t="s">
        <v>726</v>
      </c>
      <c r="C36" s="1329"/>
      <c r="D36" s="1329"/>
      <c r="E36" s="1329"/>
      <c r="F36" s="1329"/>
      <c r="G36" s="1330"/>
      <c r="H36" s="350"/>
    </row>
    <row r="37" spans="1:11" ht="8.1" customHeight="1">
      <c r="A37" s="401"/>
      <c r="B37" s="389"/>
      <c r="E37" s="371"/>
    </row>
    <row r="38" spans="1:11" s="352" customFormat="1" ht="15.75" customHeight="1">
      <c r="A38" s="401"/>
      <c r="B38" s="351" t="s">
        <v>308</v>
      </c>
      <c r="C38" s="351"/>
      <c r="D38" s="351" t="s">
        <v>309</v>
      </c>
      <c r="E38" s="351" t="s">
        <v>353</v>
      </c>
      <c r="F38" s="390" t="s">
        <v>301</v>
      </c>
      <c r="G38" s="353" t="s">
        <v>312</v>
      </c>
    </row>
    <row r="39" spans="1:11" ht="23.25" customHeight="1">
      <c r="A39" s="401"/>
      <c r="B39" s="1306" t="s">
        <v>1119</v>
      </c>
      <c r="C39" s="1307"/>
      <c r="D39" s="754" t="s">
        <v>1120</v>
      </c>
      <c r="E39" s="755" t="s">
        <v>1121</v>
      </c>
      <c r="F39" s="756" t="s">
        <v>1122</v>
      </c>
      <c r="G39" s="756"/>
      <c r="K39" s="494"/>
    </row>
    <row r="40" spans="1:11" ht="18" customHeight="1">
      <c r="A40" s="401"/>
      <c r="B40" s="346"/>
      <c r="C40" s="346"/>
      <c r="D40" s="391"/>
      <c r="E40" s="391"/>
      <c r="F40" s="371"/>
      <c r="G40" s="371"/>
    </row>
    <row r="41" spans="1:11" ht="18" customHeight="1">
      <c r="A41" s="401"/>
      <c r="B41" s="1328" t="s">
        <v>511</v>
      </c>
      <c r="C41" s="1329"/>
      <c r="D41" s="1329"/>
      <c r="E41" s="1329"/>
      <c r="F41" s="1329"/>
      <c r="G41" s="1330"/>
    </row>
    <row r="42" spans="1:11" ht="6" customHeight="1">
      <c r="A42" s="401"/>
      <c r="B42" s="782"/>
      <c r="C42" s="782"/>
      <c r="D42" s="783"/>
      <c r="E42" s="783"/>
      <c r="F42" s="392"/>
      <c r="G42" s="392"/>
    </row>
    <row r="43" spans="1:11" ht="29.25" hidden="1" customHeight="1">
      <c r="A43" s="401">
        <v>1</v>
      </c>
      <c r="B43" s="692" t="s">
        <v>315</v>
      </c>
      <c r="C43" s="692"/>
      <c r="D43" s="692"/>
      <c r="E43" s="692"/>
      <c r="F43" s="692"/>
      <c r="G43" s="692"/>
      <c r="H43" s="475"/>
      <c r="I43" s="475"/>
      <c r="J43" s="496"/>
      <c r="K43" s="494"/>
    </row>
    <row r="44" spans="1:11" ht="29.25" hidden="1" customHeight="1">
      <c r="A44" s="401">
        <v>2</v>
      </c>
      <c r="B44" s="692" t="s">
        <v>315</v>
      </c>
      <c r="C44" s="692"/>
      <c r="D44" s="692"/>
      <c r="E44" s="692"/>
      <c r="F44" s="692"/>
      <c r="G44" s="692"/>
      <c r="H44" s="475"/>
      <c r="I44" s="475"/>
      <c r="J44" s="496"/>
      <c r="K44" s="494"/>
    </row>
    <row r="45" spans="1:11" ht="4.2" hidden="1" customHeight="1">
      <c r="A45" s="401"/>
      <c r="B45" s="692"/>
      <c r="C45" s="692"/>
      <c r="D45" s="692"/>
      <c r="E45" s="692"/>
      <c r="F45" s="692"/>
      <c r="G45" s="692"/>
      <c r="H45" s="475"/>
      <c r="I45" s="475"/>
      <c r="J45" s="496"/>
      <c r="K45" s="494"/>
    </row>
    <row r="46" spans="1:11" ht="15" hidden="1" customHeight="1">
      <c r="A46" s="401"/>
      <c r="B46" s="692"/>
      <c r="C46" s="692"/>
      <c r="D46" s="692"/>
      <c r="E46" s="692"/>
      <c r="F46" s="692"/>
      <c r="G46" s="393"/>
      <c r="H46" s="475"/>
      <c r="I46" s="475"/>
      <c r="J46" s="496"/>
      <c r="K46" s="494"/>
    </row>
    <row r="47" spans="1:11" ht="29.25" hidden="1" customHeight="1">
      <c r="A47" s="401" t="s">
        <v>355</v>
      </c>
      <c r="B47" s="692" t="s">
        <v>315</v>
      </c>
      <c r="C47" s="692"/>
      <c r="D47" s="692"/>
      <c r="E47" s="692"/>
      <c r="F47" s="692"/>
      <c r="G47" s="736"/>
      <c r="H47" s="475"/>
      <c r="I47" s="475"/>
      <c r="J47" s="496"/>
      <c r="K47" s="494"/>
    </row>
    <row r="48" spans="1:11" ht="4.2" hidden="1" customHeight="1">
      <c r="A48" s="401"/>
      <c r="B48" s="692"/>
      <c r="C48" s="692"/>
      <c r="D48" s="692"/>
      <c r="E48" s="692"/>
      <c r="F48" s="692"/>
      <c r="G48" s="372"/>
      <c r="H48" s="475"/>
      <c r="I48" s="475"/>
      <c r="J48" s="496"/>
      <c r="K48" s="494"/>
    </row>
    <row r="49" spans="1:11" ht="15" hidden="1" customHeight="1">
      <c r="A49" s="401"/>
      <c r="B49" s="692"/>
      <c r="C49" s="692"/>
      <c r="D49" s="692"/>
      <c r="E49" s="692"/>
      <c r="F49" s="692"/>
      <c r="G49" s="393"/>
      <c r="H49" s="475"/>
      <c r="I49" s="475"/>
      <c r="J49" s="496"/>
      <c r="K49" s="494"/>
    </row>
    <row r="50" spans="1:11" ht="29.25" hidden="1" customHeight="1">
      <c r="A50" s="401" t="s">
        <v>356</v>
      </c>
      <c r="B50" s="692" t="s">
        <v>315</v>
      </c>
      <c r="C50" s="692"/>
      <c r="D50" s="692"/>
      <c r="E50" s="692"/>
      <c r="F50" s="692"/>
      <c r="G50" s="736"/>
      <c r="H50" s="475"/>
      <c r="I50" s="475"/>
      <c r="J50" s="496"/>
      <c r="K50" s="494"/>
    </row>
    <row r="51" spans="1:11" ht="4.2" hidden="1" customHeight="1">
      <c r="A51" s="401"/>
      <c r="B51" s="692"/>
      <c r="C51" s="692"/>
      <c r="D51" s="692"/>
      <c r="E51" s="692"/>
      <c r="F51" s="692"/>
      <c r="G51" s="805"/>
      <c r="H51" s="475"/>
      <c r="I51" s="475"/>
      <c r="J51" s="496"/>
      <c r="K51" s="494"/>
    </row>
    <row r="52" spans="1:11" ht="15">
      <c r="A52" s="401"/>
      <c r="B52" s="371"/>
      <c r="C52" s="371"/>
      <c r="D52" s="784"/>
      <c r="E52" s="784"/>
      <c r="F52" s="392"/>
      <c r="G52" s="785" t="s">
        <v>317</v>
      </c>
    </row>
    <row r="53" spans="1:11" ht="27" customHeight="1">
      <c r="A53" s="401">
        <v>5</v>
      </c>
      <c r="B53" s="1302" t="s">
        <v>713</v>
      </c>
      <c r="C53" s="1302"/>
      <c r="D53" s="1302"/>
      <c r="E53" s="1302"/>
      <c r="F53" s="1303"/>
      <c r="G53" s="622">
        <v>0</v>
      </c>
      <c r="K53" s="494" t="str">
        <f>IF(G53="","INSERIRE CAMPO OBBLIGATORIO",IF(G53=" ","INSERIRE NUMERO VALIDO",""))</f>
        <v/>
      </c>
    </row>
    <row r="54" spans="1:11" ht="4.5" customHeight="1">
      <c r="A54" s="401"/>
      <c r="B54" s="354"/>
      <c r="C54" s="354"/>
      <c r="D54" s="726"/>
      <c r="E54" s="726"/>
      <c r="F54" s="726"/>
      <c r="G54" s="395"/>
    </row>
    <row r="55" spans="1:11" ht="15">
      <c r="A55" s="401"/>
      <c r="B55" s="727"/>
      <c r="C55" s="727"/>
      <c r="D55" s="728"/>
      <c r="E55" s="729"/>
      <c r="F55" s="564"/>
      <c r="G55" s="393" t="s">
        <v>316</v>
      </c>
    </row>
    <row r="56" spans="1:11" ht="24" customHeight="1">
      <c r="A56" s="401">
        <v>6</v>
      </c>
      <c r="B56" s="1302" t="s">
        <v>627</v>
      </c>
      <c r="C56" s="1302"/>
      <c r="D56" s="1302"/>
      <c r="E56" s="1302"/>
      <c r="F56" s="1303"/>
      <c r="G56" s="927">
        <v>0</v>
      </c>
      <c r="K56" s="494" t="str">
        <f>IF(G56="","INSERIRE CAMPO OBBLIGATORIO",IF(G56=" ","INSERIRE NUMERO VALIDO",IF(AND(G56&gt;0,G56&lt;999999999999,COCOCO!$I$24=0),"COMPILARE LA SI_COCOCO","")))</f>
        <v/>
      </c>
    </row>
    <row r="57" spans="1:11" ht="4.5" customHeight="1">
      <c r="A57" s="401"/>
      <c r="B57" s="354"/>
      <c r="C57" s="724"/>
      <c r="D57" s="728"/>
      <c r="E57" s="729"/>
      <c r="F57" s="564"/>
      <c r="G57" s="372"/>
    </row>
    <row r="58" spans="1:11" ht="15">
      <c r="A58" s="401"/>
      <c r="B58" s="727"/>
      <c r="C58" s="730"/>
      <c r="D58" s="731"/>
      <c r="E58" s="732"/>
      <c r="F58" s="733"/>
      <c r="G58" s="393" t="s">
        <v>316</v>
      </c>
    </row>
    <row r="59" spans="1:11" ht="24" customHeight="1">
      <c r="A59" s="401">
        <v>7</v>
      </c>
      <c r="B59" s="1302" t="s">
        <v>628</v>
      </c>
      <c r="C59" s="1302"/>
      <c r="D59" s="1302"/>
      <c r="E59" s="1302"/>
      <c r="F59" s="1303"/>
      <c r="G59" s="622">
        <v>0</v>
      </c>
      <c r="K59" s="494" t="str">
        <f>IF(G59="","INSERIRE CAMPO OBBLIGATORIO",IF(G59=" ","INSERIRE NUMERO VALIDO",""))</f>
        <v/>
      </c>
    </row>
    <row r="60" spans="1:11" ht="4.5" customHeight="1">
      <c r="A60" s="401"/>
      <c r="B60" s="354"/>
      <c r="C60" s="724"/>
      <c r="D60" s="728"/>
      <c r="E60" s="729"/>
      <c r="F60" s="564"/>
      <c r="G60" s="372" t="s">
        <v>141</v>
      </c>
    </row>
    <row r="61" spans="1:11" ht="15">
      <c r="A61" s="401"/>
      <c r="B61" s="727"/>
      <c r="C61" s="730"/>
      <c r="D61" s="731"/>
      <c r="E61" s="732"/>
      <c r="F61" s="733"/>
      <c r="G61" s="393" t="s">
        <v>316</v>
      </c>
    </row>
    <row r="62" spans="1:11" ht="24" customHeight="1">
      <c r="A62" s="401">
        <v>8</v>
      </c>
      <c r="B62" s="1302" t="s">
        <v>629</v>
      </c>
      <c r="C62" s="1302"/>
      <c r="D62" s="1302"/>
      <c r="E62" s="1302"/>
      <c r="F62" s="1303"/>
      <c r="G62" s="622">
        <v>0</v>
      </c>
      <c r="K62" s="494" t="str">
        <f>IF(G62="","INSERIRE CAMPO OBBLIGATORIO",IF(G62=" ","INSERIRE NUMERO VALIDO",""))</f>
        <v/>
      </c>
    </row>
    <row r="63" spans="1:11" ht="4.5" customHeight="1">
      <c r="A63" s="401"/>
      <c r="B63" s="354"/>
      <c r="C63" s="724"/>
      <c r="D63" s="728"/>
      <c r="E63" s="729"/>
      <c r="F63" s="564"/>
      <c r="G63" s="372" t="s">
        <v>141</v>
      </c>
    </row>
    <row r="64" spans="1:11" s="371" customFormat="1" ht="15" hidden="1" customHeight="1">
      <c r="A64" s="544"/>
      <c r="B64" s="354"/>
      <c r="C64" s="724"/>
      <c r="D64" s="728"/>
      <c r="E64" s="729"/>
      <c r="F64" s="564"/>
      <c r="G64"/>
      <c r="H64"/>
      <c r="I64" s="566"/>
      <c r="J64" s="566"/>
    </row>
    <row r="65" spans="1:11" s="371" customFormat="1" ht="15" hidden="1" customHeight="1">
      <c r="A65" s="544"/>
      <c r="B65" s="354"/>
      <c r="C65" s="724"/>
      <c r="D65" s="728"/>
      <c r="E65" s="729"/>
      <c r="F65" s="564"/>
      <c r="G65"/>
      <c r="H65"/>
      <c r="I65" s="540"/>
      <c r="J65" s="566"/>
    </row>
    <row r="66" spans="1:11" s="371" customFormat="1" ht="15" hidden="1" customHeight="1">
      <c r="A66" s="544"/>
      <c r="B66" s="354"/>
      <c r="C66" s="724"/>
      <c r="D66" s="728"/>
      <c r="E66" s="729"/>
      <c r="F66" s="564"/>
      <c r="G66"/>
      <c r="H66"/>
      <c r="I66" s="540"/>
      <c r="J66" s="566"/>
    </row>
    <row r="67" spans="1:11" s="371" customFormat="1" ht="15" hidden="1" customHeight="1">
      <c r="A67" s="544"/>
      <c r="B67" s="354"/>
      <c r="C67" s="724"/>
      <c r="D67" s="728"/>
      <c r="E67" s="729"/>
      <c r="F67" s="564"/>
      <c r="G67"/>
      <c r="H67"/>
      <c r="I67" s="540"/>
      <c r="J67" s="566"/>
    </row>
    <row r="68" spans="1:11" s="371" customFormat="1" ht="15" hidden="1" customHeight="1">
      <c r="A68" s="544"/>
      <c r="B68" s="354"/>
      <c r="C68" s="724"/>
      <c r="D68" s="728"/>
      <c r="E68" s="729"/>
      <c r="F68" s="564"/>
      <c r="G68"/>
      <c r="H68"/>
      <c r="I68" s="540"/>
      <c r="J68" s="566"/>
    </row>
    <row r="69" spans="1:11" s="371" customFormat="1" ht="15" hidden="1" customHeight="1">
      <c r="A69" s="544"/>
      <c r="B69" s="354"/>
      <c r="C69" s="724"/>
      <c r="D69" s="728"/>
      <c r="E69" s="729"/>
      <c r="F69" s="564"/>
      <c r="G69"/>
      <c r="H69"/>
      <c r="I69" s="540"/>
      <c r="J69" s="566"/>
    </row>
    <row r="70" spans="1:11" ht="9.9" hidden="1" customHeight="1">
      <c r="A70" s="401"/>
      <c r="B70" s="354"/>
      <c r="C70" s="724"/>
      <c r="D70" s="728"/>
      <c r="E70" s="729"/>
      <c r="F70" s="564"/>
      <c r="G70" s="607"/>
    </row>
    <row r="71" spans="1:11" ht="9.9" hidden="1" customHeight="1">
      <c r="A71" s="401"/>
      <c r="B71" s="354"/>
      <c r="C71" s="724"/>
      <c r="D71" s="728"/>
      <c r="E71" s="729"/>
      <c r="F71" s="564"/>
      <c r="G71" s="607"/>
    </row>
    <row r="72" spans="1:11" ht="9.9" hidden="1" customHeight="1">
      <c r="A72" s="401"/>
      <c r="B72" s="354"/>
      <c r="C72" s="724"/>
      <c r="D72" s="728"/>
      <c r="E72" s="729"/>
      <c r="F72" s="564"/>
      <c r="G72" s="607"/>
    </row>
    <row r="73" spans="1:11" ht="9.9" hidden="1" customHeight="1">
      <c r="A73" s="401"/>
      <c r="B73" s="354"/>
      <c r="C73" s="724"/>
      <c r="D73" s="728"/>
      <c r="E73" s="729"/>
      <c r="F73" s="564"/>
      <c r="G73" s="607"/>
    </row>
    <row r="74" spans="1:11" ht="9.9" hidden="1" customHeight="1">
      <c r="A74" s="401"/>
      <c r="B74" s="354"/>
      <c r="C74" s="724"/>
      <c r="D74" s="728"/>
      <c r="E74" s="729"/>
      <c r="F74" s="564"/>
      <c r="G74" s="607"/>
    </row>
    <row r="75" spans="1:11" ht="9.9" hidden="1" customHeight="1">
      <c r="A75" s="401"/>
      <c r="B75" s="354"/>
      <c r="C75" s="724"/>
      <c r="D75" s="728"/>
      <c r="E75" s="729"/>
      <c r="F75" s="564"/>
      <c r="G75" s="607"/>
    </row>
    <row r="76" spans="1:11" ht="9.9" hidden="1" customHeight="1">
      <c r="A76" s="401"/>
      <c r="B76" s="354"/>
      <c r="C76" s="724"/>
      <c r="D76" s="728"/>
      <c r="E76" s="729"/>
      <c r="F76" s="564"/>
      <c r="G76" s="607"/>
    </row>
    <row r="77" spans="1:11" ht="9.9" hidden="1" customHeight="1">
      <c r="A77" s="401"/>
      <c r="B77" s="354"/>
      <c r="C77" s="724"/>
      <c r="D77" s="728"/>
      <c r="E77" s="729"/>
      <c r="F77" s="564"/>
      <c r="G77" s="607"/>
    </row>
    <row r="78" spans="1:11" ht="9.9" hidden="1" customHeight="1">
      <c r="A78" s="401"/>
      <c r="B78" s="354"/>
      <c r="C78" s="724"/>
      <c r="D78" s="728"/>
      <c r="E78" s="729"/>
      <c r="F78" s="564"/>
      <c r="G78" s="607"/>
    </row>
    <row r="79" spans="1:11" ht="9.9" hidden="1" customHeight="1">
      <c r="A79" s="401"/>
      <c r="B79" s="354"/>
      <c r="C79" s="724"/>
      <c r="D79" s="728"/>
      <c r="E79" s="729"/>
      <c r="F79" s="564"/>
      <c r="G79" s="555"/>
      <c r="K79" s="494"/>
    </row>
    <row r="80" spans="1:11" ht="17.25" hidden="1" customHeight="1">
      <c r="A80" s="401"/>
      <c r="B80" s="354"/>
      <c r="C80" s="724"/>
      <c r="D80" s="728"/>
      <c r="E80" s="729"/>
      <c r="F80" s="564"/>
      <c r="G80" s="372"/>
    </row>
    <row r="81" spans="1:11" ht="15">
      <c r="A81" s="401"/>
      <c r="B81" s="727"/>
      <c r="C81" s="730"/>
      <c r="D81" s="731"/>
      <c r="E81" s="732"/>
      <c r="F81" s="733"/>
      <c r="G81" s="393" t="s">
        <v>463</v>
      </c>
    </row>
    <row r="82" spans="1:11" ht="27" customHeight="1">
      <c r="A82" s="401">
        <v>9</v>
      </c>
      <c r="B82" s="1302" t="s">
        <v>630</v>
      </c>
      <c r="C82" s="1302"/>
      <c r="D82" s="1302"/>
      <c r="E82" s="1302"/>
      <c r="F82" s="1303"/>
      <c r="G82" s="622">
        <v>19</v>
      </c>
      <c r="K82" s="494"/>
    </row>
    <row r="83" spans="1:11" ht="5.25" customHeight="1">
      <c r="A83" s="401"/>
      <c r="B83" s="490"/>
      <c r="C83" s="490"/>
      <c r="D83" s="490"/>
      <c r="E83" s="490"/>
      <c r="F83" s="497"/>
      <c r="G83" s="372"/>
      <c r="K83" s="494"/>
    </row>
    <row r="84" spans="1:11" ht="15">
      <c r="A84" s="401"/>
      <c r="B84" s="727"/>
      <c r="C84" s="730"/>
      <c r="D84" s="731"/>
      <c r="E84" s="732"/>
      <c r="F84" s="733"/>
      <c r="G84" s="393" t="s">
        <v>317</v>
      </c>
    </row>
    <row r="85" spans="1:11" ht="27" customHeight="1">
      <c r="A85" s="401">
        <v>10</v>
      </c>
      <c r="B85" s="1302" t="s">
        <v>714</v>
      </c>
      <c r="C85" s="1302"/>
      <c r="D85" s="1302"/>
      <c r="E85" s="1302"/>
      <c r="F85" s="1303"/>
      <c r="G85" s="622"/>
      <c r="K85" s="494"/>
    </row>
    <row r="86" spans="1:11" ht="5.25" customHeight="1">
      <c r="A86" s="401"/>
      <c r="B86" s="490"/>
      <c r="C86" s="490"/>
      <c r="D86" s="490"/>
      <c r="E86" s="490"/>
      <c r="F86" s="497"/>
      <c r="G86" s="372"/>
      <c r="K86" s="494"/>
    </row>
    <row r="87" spans="1:11" ht="15" hidden="1">
      <c r="A87" s="401"/>
      <c r="B87" s="727"/>
      <c r="C87" s="730"/>
      <c r="D87" s="731"/>
      <c r="E87" s="732"/>
      <c r="F87" s="733"/>
      <c r="G87" s="393"/>
    </row>
    <row r="88" spans="1:11" ht="27" hidden="1" customHeight="1">
      <c r="A88" s="401">
        <v>11</v>
      </c>
      <c r="B88" s="1302" t="s">
        <v>315</v>
      </c>
      <c r="C88" s="1302"/>
      <c r="D88" s="1302"/>
      <c r="E88" s="1302"/>
      <c r="F88" s="1303"/>
      <c r="G88" s="736"/>
      <c r="K88" s="494"/>
    </row>
    <row r="89" spans="1:11" ht="5.25" hidden="1" customHeight="1">
      <c r="A89" s="401"/>
      <c r="B89" s="490"/>
      <c r="C89" s="490"/>
      <c r="D89" s="490"/>
      <c r="E89" s="490"/>
      <c r="F89" s="497"/>
      <c r="G89" s="372"/>
      <c r="K89" s="494"/>
    </row>
    <row r="90" spans="1:11" ht="13.8" hidden="1">
      <c r="A90" s="725"/>
      <c r="B90" s="727"/>
      <c r="C90" s="730"/>
      <c r="D90" s="731"/>
      <c r="E90" s="732"/>
      <c r="F90" s="733"/>
      <c r="G90" s="393"/>
    </row>
    <row r="91" spans="1:11" ht="27" hidden="1" customHeight="1">
      <c r="A91" s="401">
        <v>12</v>
      </c>
      <c r="B91" s="1302" t="s">
        <v>315</v>
      </c>
      <c r="C91" s="1302"/>
      <c r="D91" s="1302"/>
      <c r="E91" s="1302"/>
      <c r="F91" s="1303"/>
      <c r="G91" s="736"/>
      <c r="K91" s="494"/>
    </row>
    <row r="92" spans="1:11" ht="4.5" hidden="1" customHeight="1">
      <c r="A92" s="401"/>
      <c r="B92" s="490"/>
      <c r="C92" s="490"/>
      <c r="D92" s="490"/>
      <c r="E92" s="490"/>
      <c r="F92" s="497"/>
      <c r="G92" s="497"/>
      <c r="K92" s="494"/>
    </row>
    <row r="93" spans="1:11" ht="15" hidden="1">
      <c r="A93" s="401"/>
      <c r="B93" s="727"/>
      <c r="C93" s="730"/>
      <c r="D93" s="731"/>
      <c r="E93" s="732"/>
      <c r="F93" s="733"/>
      <c r="G93" s="393"/>
    </row>
    <row r="94" spans="1:11" ht="27" hidden="1" customHeight="1">
      <c r="A94" s="401">
        <v>13</v>
      </c>
      <c r="B94" s="1302" t="s">
        <v>315</v>
      </c>
      <c r="C94" s="1302"/>
      <c r="D94" s="1302"/>
      <c r="E94" s="1302"/>
      <c r="F94" s="1303"/>
      <c r="G94" s="736"/>
      <c r="K94" s="494"/>
    </row>
    <row r="95" spans="1:11" ht="4.5" hidden="1" customHeight="1">
      <c r="A95" s="401"/>
      <c r="B95" s="490"/>
      <c r="C95" s="490"/>
      <c r="D95" s="490"/>
      <c r="E95" s="490"/>
      <c r="F95" s="497"/>
      <c r="G95" s="497"/>
      <c r="K95" s="494"/>
    </row>
    <row r="96" spans="1:11" ht="15" hidden="1">
      <c r="A96" s="401"/>
      <c r="B96" s="727"/>
      <c r="C96" s="730"/>
      <c r="D96" s="731"/>
      <c r="E96" s="732"/>
      <c r="F96" s="733"/>
      <c r="G96" s="393"/>
    </row>
    <row r="97" spans="1:11" ht="27" hidden="1" customHeight="1">
      <c r="A97" s="401">
        <v>30</v>
      </c>
      <c r="B97" s="1302" t="s">
        <v>315</v>
      </c>
      <c r="C97" s="1302"/>
      <c r="D97" s="1302"/>
      <c r="E97" s="1302"/>
      <c r="F97" s="1303"/>
      <c r="G97" s="736"/>
      <c r="K97" s="494"/>
    </row>
    <row r="98" spans="1:11" ht="4.5" hidden="1" customHeight="1">
      <c r="A98" s="401"/>
      <c r="B98" s="490"/>
      <c r="C98" s="490"/>
      <c r="D98" s="490"/>
      <c r="E98" s="490"/>
      <c r="F98" s="497"/>
      <c r="G98" s="497"/>
      <c r="K98" s="494"/>
    </row>
    <row r="99" spans="1:11" ht="15">
      <c r="A99" s="401"/>
      <c r="B99" s="727"/>
      <c r="C99" s="730"/>
      <c r="D99" s="731"/>
      <c r="E99" s="732"/>
      <c r="F99" s="733"/>
      <c r="G99" s="393" t="s">
        <v>317</v>
      </c>
    </row>
    <row r="100" spans="1:11" ht="27" customHeight="1">
      <c r="A100" s="401">
        <v>31</v>
      </c>
      <c r="B100" s="1302" t="s">
        <v>715</v>
      </c>
      <c r="C100" s="1302"/>
      <c r="D100" s="1302"/>
      <c r="E100" s="1302"/>
      <c r="F100" s="1303"/>
      <c r="G100" s="622"/>
      <c r="K100" s="494"/>
    </row>
    <row r="101" spans="1:11" ht="4.5" customHeight="1">
      <c r="A101" s="401"/>
      <c r="B101" s="490"/>
      <c r="C101" s="490"/>
      <c r="D101" s="490"/>
      <c r="E101" s="490"/>
      <c r="F101" s="497"/>
      <c r="G101" s="497"/>
      <c r="K101" s="494"/>
    </row>
    <row r="102" spans="1:11" ht="15">
      <c r="A102" s="401"/>
      <c r="B102" s="727"/>
      <c r="C102" s="730"/>
      <c r="D102" s="731"/>
      <c r="E102" s="732"/>
      <c r="F102" s="733"/>
      <c r="G102" s="393" t="s">
        <v>317</v>
      </c>
    </row>
    <row r="103" spans="1:11" ht="27" customHeight="1">
      <c r="A103" s="401">
        <v>32</v>
      </c>
      <c r="B103" s="1302" t="s">
        <v>716</v>
      </c>
      <c r="C103" s="1302"/>
      <c r="D103" s="1302"/>
      <c r="E103" s="1302"/>
      <c r="F103" s="1303"/>
      <c r="G103" s="622"/>
      <c r="K103" s="494"/>
    </row>
    <row r="104" spans="1:11" ht="4.5" customHeight="1">
      <c r="A104" s="401"/>
      <c r="B104" s="490"/>
      <c r="C104" s="490"/>
      <c r="D104" s="490"/>
      <c r="E104" s="490"/>
      <c r="F104" s="497"/>
      <c r="G104" s="497"/>
      <c r="K104" s="494"/>
    </row>
    <row r="105" spans="1:11" ht="15">
      <c r="A105" s="401"/>
      <c r="B105" s="727"/>
      <c r="C105" s="730"/>
      <c r="D105" s="731"/>
      <c r="E105" s="732"/>
      <c r="F105" s="733"/>
      <c r="G105" s="393" t="s">
        <v>317</v>
      </c>
    </row>
    <row r="106" spans="1:11" ht="27" customHeight="1">
      <c r="A106" s="401">
        <v>33</v>
      </c>
      <c r="B106" s="1302" t="s">
        <v>717</v>
      </c>
      <c r="C106" s="1302"/>
      <c r="D106" s="1302"/>
      <c r="E106" s="1302"/>
      <c r="F106" s="1303"/>
      <c r="G106" s="622"/>
      <c r="K106" s="494"/>
    </row>
    <row r="107" spans="1:11" ht="4.5" customHeight="1">
      <c r="A107" s="401"/>
      <c r="B107" s="490"/>
      <c r="C107" s="490"/>
      <c r="D107" s="490"/>
      <c r="E107" s="490"/>
      <c r="F107" s="497"/>
      <c r="G107" s="497"/>
      <c r="K107" s="494"/>
    </row>
    <row r="108" spans="1:11" ht="15">
      <c r="A108" s="401"/>
      <c r="B108" s="727"/>
      <c r="C108" s="730"/>
      <c r="D108" s="731"/>
      <c r="E108" s="732"/>
      <c r="F108" s="733"/>
      <c r="G108" s="393" t="s">
        <v>317</v>
      </c>
    </row>
    <row r="109" spans="1:11" ht="27" customHeight="1">
      <c r="A109" s="401">
        <v>34</v>
      </c>
      <c r="B109" s="1302" t="s">
        <v>718</v>
      </c>
      <c r="C109" s="1302"/>
      <c r="D109" s="1302"/>
      <c r="E109" s="1302"/>
      <c r="F109" s="1303"/>
      <c r="G109" s="622"/>
      <c r="K109" s="494"/>
    </row>
    <row r="110" spans="1:11" ht="4.5" customHeight="1">
      <c r="A110" s="401"/>
      <c r="B110" s="490"/>
      <c r="C110" s="490"/>
      <c r="D110" s="490"/>
      <c r="E110" s="490"/>
      <c r="F110" s="497"/>
      <c r="G110" s="497"/>
      <c r="K110" s="494"/>
    </row>
    <row r="111" spans="1:11" ht="15">
      <c r="A111" s="401"/>
      <c r="B111" s="727"/>
      <c r="C111" s="730"/>
      <c r="D111" s="731"/>
      <c r="E111" s="732"/>
      <c r="F111" s="733"/>
      <c r="G111" s="393" t="s">
        <v>317</v>
      </c>
    </row>
    <row r="112" spans="1:11" ht="27" customHeight="1">
      <c r="A112" s="401">
        <v>35</v>
      </c>
      <c r="B112" s="1310" t="s">
        <v>815</v>
      </c>
      <c r="C112" s="1310"/>
      <c r="D112" s="1310"/>
      <c r="E112" s="1310"/>
      <c r="F112" s="1310"/>
      <c r="G112" s="622"/>
      <c r="K112" s="494"/>
    </row>
    <row r="113" spans="1:11" ht="4.5" customHeight="1">
      <c r="A113" s="401"/>
      <c r="B113" s="490"/>
      <c r="C113" s="490"/>
      <c r="D113" s="490"/>
      <c r="E113" s="490"/>
      <c r="F113" s="497"/>
      <c r="G113" s="497"/>
      <c r="K113" s="494"/>
    </row>
    <row r="114" spans="1:11" ht="15">
      <c r="A114" s="401"/>
      <c r="B114" s="727"/>
      <c r="C114" s="730"/>
      <c r="D114" s="731"/>
      <c r="E114" s="732"/>
      <c r="F114" s="733"/>
      <c r="G114" s="393" t="s">
        <v>317</v>
      </c>
    </row>
    <row r="115" spans="1:11" ht="27" customHeight="1">
      <c r="A115" s="401">
        <v>36</v>
      </c>
      <c r="B115" s="1310" t="s">
        <v>816</v>
      </c>
      <c r="C115" s="1310"/>
      <c r="D115" s="1310"/>
      <c r="E115" s="1310"/>
      <c r="F115" s="1310"/>
      <c r="G115" s="622"/>
      <c r="K115" s="494"/>
    </row>
    <row r="116" spans="1:11" ht="4.5" customHeight="1">
      <c r="A116" s="401"/>
      <c r="B116" s="490"/>
      <c r="C116" s="490"/>
      <c r="D116" s="490"/>
      <c r="E116" s="490"/>
      <c r="F116" s="497"/>
      <c r="G116" s="497"/>
      <c r="K116" s="494"/>
    </row>
    <row r="117" spans="1:11" ht="15">
      <c r="A117" s="401"/>
      <c r="B117" s="855"/>
      <c r="C117" s="855"/>
      <c r="D117" s="855"/>
      <c r="E117" s="855"/>
      <c r="F117" s="855"/>
      <c r="G117" s="393" t="s">
        <v>317</v>
      </c>
    </row>
    <row r="118" spans="1:11" ht="27.6" customHeight="1">
      <c r="A118" s="401">
        <v>37</v>
      </c>
      <c r="B118" s="1310" t="s">
        <v>817</v>
      </c>
      <c r="C118" s="1310"/>
      <c r="D118" s="1310"/>
      <c r="E118" s="1310"/>
      <c r="F118" s="1310"/>
      <c r="G118" s="622"/>
      <c r="K118" s="494"/>
    </row>
    <row r="119" spans="1:11" ht="4.5" customHeight="1">
      <c r="A119" s="401"/>
      <c r="B119" s="490"/>
      <c r="C119" s="490"/>
      <c r="D119" s="490"/>
      <c r="E119" s="490"/>
      <c r="F119" s="497"/>
      <c r="G119" s="497"/>
      <c r="K119" s="494"/>
    </row>
    <row r="120" spans="1:11" ht="15">
      <c r="A120" s="401"/>
      <c r="B120" s="727"/>
      <c r="C120" s="730"/>
      <c r="D120" s="731"/>
      <c r="E120" s="732"/>
      <c r="F120" s="733"/>
      <c r="G120" s="785" t="s">
        <v>463</v>
      </c>
    </row>
    <row r="121" spans="1:11" ht="27" customHeight="1">
      <c r="A121" s="401">
        <v>38</v>
      </c>
      <c r="B121" s="1302" t="s">
        <v>864</v>
      </c>
      <c r="C121" s="1302"/>
      <c r="D121" s="1302"/>
      <c r="E121" s="1302"/>
      <c r="F121" s="1303"/>
      <c r="G121" s="974"/>
      <c r="K121" s="494"/>
    </row>
    <row r="122" spans="1:11" ht="4.5" customHeight="1">
      <c r="A122" s="401"/>
      <c r="B122" s="490"/>
      <c r="C122" s="490"/>
      <c r="D122" s="490"/>
      <c r="E122" s="490"/>
      <c r="F122" s="497"/>
      <c r="G122" s="497"/>
      <c r="K122" s="494"/>
    </row>
    <row r="123" spans="1:11" ht="15">
      <c r="A123" s="401"/>
      <c r="B123" s="727"/>
      <c r="C123" s="730"/>
      <c r="D123" s="731"/>
      <c r="E123" s="732"/>
      <c r="F123" s="733"/>
      <c r="G123" s="785" t="s">
        <v>463</v>
      </c>
    </row>
    <row r="124" spans="1:11" ht="27" customHeight="1">
      <c r="A124" s="401">
        <v>39</v>
      </c>
      <c r="B124" s="1302" t="s">
        <v>863</v>
      </c>
      <c r="C124" s="1302"/>
      <c r="D124" s="1302"/>
      <c r="E124" s="1302"/>
      <c r="F124" s="1303"/>
      <c r="G124" s="974"/>
      <c r="K124" s="494"/>
    </row>
    <row r="125" spans="1:11" ht="4.5" customHeight="1">
      <c r="A125" s="401"/>
      <c r="B125" s="490"/>
      <c r="C125" s="490"/>
      <c r="D125" s="490"/>
      <c r="E125" s="490"/>
      <c r="F125" s="497"/>
      <c r="G125" s="497"/>
      <c r="K125" s="494"/>
    </row>
    <row r="126" spans="1:11" ht="15">
      <c r="A126" s="401"/>
      <c r="B126" s="727"/>
      <c r="C126" s="730"/>
      <c r="D126" s="731"/>
      <c r="E126" s="732"/>
      <c r="F126" s="733"/>
      <c r="G126" s="785" t="s">
        <v>463</v>
      </c>
    </row>
    <row r="127" spans="1:11" ht="27" customHeight="1">
      <c r="A127" s="401">
        <v>40</v>
      </c>
      <c r="B127" s="1302" t="s">
        <v>865</v>
      </c>
      <c r="C127" s="1302"/>
      <c r="D127" s="1302"/>
      <c r="E127" s="1302"/>
      <c r="F127" s="1303"/>
      <c r="G127" s="974"/>
      <c r="K127" s="494"/>
    </row>
    <row r="128" spans="1:11" ht="4.5" hidden="1" customHeight="1">
      <c r="A128" s="401"/>
      <c r="B128" s="490"/>
      <c r="C128" s="490"/>
      <c r="D128" s="490"/>
      <c r="E128" s="490"/>
      <c r="F128" s="497"/>
      <c r="G128" s="497"/>
      <c r="K128" s="494"/>
    </row>
    <row r="129" spans="1:11" ht="15" hidden="1">
      <c r="A129" s="401"/>
      <c r="B129" s="727"/>
      <c r="C129" s="730"/>
      <c r="D129" s="731"/>
      <c r="E129" s="732"/>
      <c r="F129" s="733"/>
      <c r="G129" s="393"/>
    </row>
    <row r="130" spans="1:11" ht="27" hidden="1" customHeight="1">
      <c r="A130" s="401">
        <v>41</v>
      </c>
      <c r="B130" s="1302" t="s">
        <v>315</v>
      </c>
      <c r="C130" s="1302"/>
      <c r="D130" s="1302"/>
      <c r="E130" s="1302"/>
      <c r="F130" s="1303"/>
      <c r="G130" s="736"/>
      <c r="K130" s="494"/>
    </row>
    <row r="131" spans="1:11" ht="4.5" hidden="1" customHeight="1">
      <c r="A131" s="401"/>
      <c r="B131" s="490"/>
      <c r="C131" s="490"/>
      <c r="D131" s="490"/>
      <c r="E131" s="490"/>
      <c r="F131" s="497"/>
      <c r="G131" s="497"/>
      <c r="K131" s="494"/>
    </row>
    <row r="132" spans="1:11" ht="15" hidden="1">
      <c r="A132" s="401"/>
      <c r="B132" s="727"/>
      <c r="C132" s="730"/>
      <c r="D132" s="731"/>
      <c r="E132" s="732"/>
      <c r="F132" s="733"/>
      <c r="G132" s="393"/>
    </row>
    <row r="133" spans="1:11" ht="27" hidden="1" customHeight="1">
      <c r="A133" s="401">
        <v>42</v>
      </c>
      <c r="B133" s="1302" t="s">
        <v>315</v>
      </c>
      <c r="C133" s="1302"/>
      <c r="D133" s="1302"/>
      <c r="E133" s="1302"/>
      <c r="F133" s="1303"/>
      <c r="G133" s="736"/>
      <c r="K133" s="494"/>
    </row>
    <row r="134" spans="1:11" ht="4.5" hidden="1" customHeight="1">
      <c r="A134" s="401"/>
      <c r="B134" s="490"/>
      <c r="C134" s="490"/>
      <c r="D134" s="490"/>
      <c r="E134" s="490"/>
      <c r="F134" s="497"/>
      <c r="G134" s="497"/>
      <c r="K134" s="494"/>
    </row>
    <row r="135" spans="1:11" ht="15" hidden="1">
      <c r="A135" s="401"/>
      <c r="B135" s="727"/>
      <c r="C135" s="730"/>
      <c r="D135" s="731"/>
      <c r="E135" s="732"/>
      <c r="F135" s="733"/>
      <c r="G135" s="393"/>
    </row>
    <row r="136" spans="1:11" ht="27" hidden="1" customHeight="1">
      <c r="A136" s="401">
        <v>43</v>
      </c>
      <c r="B136" s="1302" t="s">
        <v>315</v>
      </c>
      <c r="C136" s="1302"/>
      <c r="D136" s="1302"/>
      <c r="E136" s="1302"/>
      <c r="F136" s="1303"/>
      <c r="G136" s="736"/>
      <c r="K136" s="494"/>
    </row>
    <row r="137" spans="1:11" ht="4.5" hidden="1" customHeight="1">
      <c r="A137" s="401"/>
      <c r="B137" s="490"/>
      <c r="C137" s="490"/>
      <c r="D137" s="490"/>
      <c r="E137" s="490"/>
      <c r="F137" s="497"/>
      <c r="G137" s="497"/>
      <c r="K137" s="494"/>
    </row>
    <row r="138" spans="1:11" ht="15" hidden="1">
      <c r="A138" s="401"/>
      <c r="B138" s="727"/>
      <c r="C138" s="730"/>
      <c r="D138" s="731"/>
      <c r="E138" s="732"/>
      <c r="F138" s="733"/>
      <c r="G138" s="393"/>
    </row>
    <row r="139" spans="1:11" ht="27" hidden="1" customHeight="1">
      <c r="A139" s="401">
        <v>44</v>
      </c>
      <c r="B139" s="1302" t="s">
        <v>315</v>
      </c>
      <c r="C139" s="1302"/>
      <c r="D139" s="1302"/>
      <c r="E139" s="1302"/>
      <c r="F139" s="1303"/>
      <c r="G139" s="736"/>
      <c r="K139" s="494"/>
    </row>
    <row r="140" spans="1:11" ht="4.5" hidden="1" customHeight="1">
      <c r="A140" s="401"/>
      <c r="B140" s="490"/>
      <c r="C140" s="490"/>
      <c r="D140" s="490"/>
      <c r="E140" s="490"/>
      <c r="F140" s="497"/>
      <c r="G140" s="497"/>
      <c r="K140" s="494"/>
    </row>
    <row r="141" spans="1:11" ht="15" hidden="1">
      <c r="A141" s="401"/>
      <c r="B141" s="727"/>
      <c r="C141" s="730"/>
      <c r="D141" s="731"/>
      <c r="E141" s="732"/>
      <c r="F141" s="733"/>
      <c r="G141" s="393"/>
    </row>
    <row r="142" spans="1:11" ht="27" hidden="1" customHeight="1">
      <c r="A142" s="401">
        <v>45</v>
      </c>
      <c r="B142" s="1302" t="s">
        <v>315</v>
      </c>
      <c r="C142" s="1302"/>
      <c r="D142" s="1302"/>
      <c r="E142" s="1302"/>
      <c r="F142" s="1303"/>
      <c r="G142" s="736"/>
      <c r="K142" s="494"/>
    </row>
    <row r="143" spans="1:11" ht="4.5" hidden="1" customHeight="1">
      <c r="A143" s="401"/>
      <c r="B143" s="490"/>
      <c r="C143" s="490"/>
      <c r="D143" s="490"/>
      <c r="E143" s="490"/>
      <c r="F143" s="497"/>
      <c r="G143" s="497"/>
      <c r="K143" s="494"/>
    </row>
    <row r="144" spans="1:11" ht="15" hidden="1">
      <c r="A144" s="401"/>
      <c r="B144" s="727"/>
      <c r="C144" s="730"/>
      <c r="D144" s="731"/>
      <c r="E144" s="732"/>
      <c r="F144" s="733"/>
      <c r="G144" s="393"/>
    </row>
    <row r="145" spans="1:11" ht="27" hidden="1" customHeight="1">
      <c r="A145" s="401">
        <v>46</v>
      </c>
      <c r="B145" s="1302" t="s">
        <v>315</v>
      </c>
      <c r="C145" s="1302"/>
      <c r="D145" s="1302"/>
      <c r="E145" s="1302"/>
      <c r="F145" s="1303"/>
      <c r="G145" s="736"/>
      <c r="K145" s="494"/>
    </row>
    <row r="146" spans="1:11" ht="20.25" hidden="1" customHeight="1">
      <c r="A146" s="401"/>
      <c r="B146" s="490"/>
      <c r="C146" s="490"/>
      <c r="D146" s="490"/>
      <c r="E146" s="490"/>
      <c r="F146" s="497"/>
      <c r="G146" s="372"/>
      <c r="K146" s="494"/>
    </row>
    <row r="147" spans="1:11" s="371" customFormat="1" ht="15" hidden="1" customHeight="1">
      <c r="A147" s="401"/>
      <c r="B147" s="490"/>
      <c r="C147" s="490"/>
      <c r="D147" s="490"/>
      <c r="E147" s="490"/>
      <c r="F147" s="497"/>
      <c r="G147" s="785" t="s">
        <v>317</v>
      </c>
      <c r="K147" s="1115"/>
    </row>
    <row r="148" spans="1:11" s="371" customFormat="1" ht="27" hidden="1" customHeight="1">
      <c r="A148" s="401">
        <v>47</v>
      </c>
      <c r="B148" s="1341"/>
      <c r="C148" s="1341"/>
      <c r="D148" s="1341"/>
      <c r="E148" s="1341"/>
      <c r="F148" s="1342"/>
      <c r="G148" s="974"/>
      <c r="K148" s="1115"/>
    </row>
    <row r="149" spans="1:11" s="371" customFormat="1" ht="4.2" hidden="1" customHeight="1">
      <c r="A149" s="401"/>
      <c r="C149" s="490"/>
      <c r="D149" s="490"/>
      <c r="E149" s="490"/>
      <c r="F149" s="497"/>
      <c r="G149" s="497"/>
      <c r="K149" s="1115"/>
    </row>
    <row r="150" spans="1:11" s="371" customFormat="1" ht="15" hidden="1" customHeight="1">
      <c r="A150" s="401"/>
      <c r="B150" s="490"/>
      <c r="C150" s="490"/>
      <c r="D150" s="490"/>
      <c r="E150" s="490"/>
      <c r="F150" s="497"/>
      <c r="G150" s="785" t="s">
        <v>317</v>
      </c>
      <c r="K150" s="1115"/>
    </row>
    <row r="151" spans="1:11" s="371" customFormat="1" ht="27" hidden="1" customHeight="1">
      <c r="A151" s="401">
        <v>48</v>
      </c>
      <c r="B151" s="1341"/>
      <c r="C151" s="1341"/>
      <c r="D151" s="1341"/>
      <c r="E151" s="1341"/>
      <c r="F151" s="1342"/>
      <c r="G151" s="974"/>
      <c r="K151" s="1115"/>
    </row>
    <row r="152" spans="1:11" s="371" customFormat="1" ht="15" hidden="1" customHeight="1">
      <c r="A152" s="401"/>
      <c r="B152" s="490"/>
      <c r="C152" s="490"/>
      <c r="D152" s="490"/>
      <c r="E152" s="490"/>
      <c r="F152" s="497"/>
      <c r="G152" s="1116"/>
      <c r="K152" s="1115"/>
    </row>
    <row r="153" spans="1:11" s="371" customFormat="1" ht="15" hidden="1" customHeight="1">
      <c r="A153" s="401"/>
      <c r="B153" s="490"/>
      <c r="C153" s="490"/>
      <c r="D153" s="490"/>
      <c r="E153" s="490"/>
      <c r="F153" s="497"/>
      <c r="G153" s="1116"/>
      <c r="K153" s="1115"/>
    </row>
    <row r="154" spans="1:11" s="371" customFormat="1" ht="15" hidden="1" customHeight="1">
      <c r="A154" s="401"/>
      <c r="B154" s="490"/>
      <c r="C154" s="490"/>
      <c r="D154" s="490"/>
      <c r="E154" s="490"/>
      <c r="F154" s="497"/>
      <c r="G154" s="1116"/>
      <c r="K154" s="1115"/>
    </row>
    <row r="155" spans="1:11" s="371" customFormat="1" ht="15" hidden="1" customHeight="1">
      <c r="A155" s="401"/>
      <c r="B155" s="490"/>
      <c r="C155" s="490"/>
      <c r="D155" s="490"/>
      <c r="E155" s="490"/>
      <c r="F155" s="497"/>
      <c r="G155" s="1116"/>
      <c r="K155" s="1115"/>
    </row>
    <row r="156" spans="1:11" s="371" customFormat="1" ht="15" customHeight="1">
      <c r="A156" s="401"/>
      <c r="B156" s="490"/>
      <c r="C156" s="490"/>
      <c r="D156" s="490"/>
      <c r="E156" s="490"/>
      <c r="F156" s="497"/>
      <c r="G156" s="1116"/>
      <c r="K156" s="1115"/>
    </row>
    <row r="157" spans="1:11" ht="33" customHeight="1">
      <c r="A157" s="401"/>
      <c r="B157" s="1338" t="s">
        <v>824</v>
      </c>
      <c r="C157" s="1339"/>
      <c r="D157" s="1339"/>
      <c r="E157" s="1339"/>
      <c r="F157" s="1339"/>
      <c r="G157" s="1340"/>
    </row>
    <row r="158" spans="1:11" ht="41.25" customHeight="1">
      <c r="A158" s="401"/>
      <c r="B158" s="1311"/>
      <c r="C158" s="1312"/>
      <c r="D158" s="1312"/>
      <c r="E158" s="1312"/>
      <c r="F158" s="1312"/>
      <c r="G158" s="1313"/>
      <c r="K158" s="494" t="str">
        <f>IF(LEN(B158)&gt;1500,"IL NUMERO MASSIMO DI CARATTERI CONSENTITO E' 1500","")</f>
        <v/>
      </c>
    </row>
    <row r="159" spans="1:11" ht="12.75" customHeight="1">
      <c r="A159" s="401"/>
      <c r="B159" s="1314"/>
      <c r="C159" s="1315"/>
      <c r="D159" s="1315"/>
      <c r="E159" s="1315"/>
      <c r="F159" s="1315"/>
      <c r="G159" s="1316"/>
      <c r="K159" s="494"/>
    </row>
    <row r="160" spans="1:11" ht="12.75" customHeight="1">
      <c r="A160" s="401"/>
      <c r="B160" s="1314"/>
      <c r="C160" s="1315"/>
      <c r="D160" s="1315"/>
      <c r="E160" s="1315"/>
      <c r="F160" s="1315"/>
      <c r="G160" s="1316"/>
    </row>
    <row r="161" spans="1:11" ht="12.75" customHeight="1">
      <c r="A161" s="401"/>
      <c r="B161" s="1314"/>
      <c r="C161" s="1315"/>
      <c r="D161" s="1315"/>
      <c r="E161" s="1315"/>
      <c r="F161" s="1315"/>
      <c r="G161" s="1316"/>
    </row>
    <row r="162" spans="1:11" ht="12.75" customHeight="1">
      <c r="A162" s="401"/>
      <c r="B162" s="1317"/>
      <c r="C162" s="1318"/>
      <c r="D162" s="1318"/>
      <c r="E162" s="1318"/>
      <c r="F162" s="1318"/>
      <c r="G162" s="1319"/>
    </row>
    <row r="163" spans="1:11" ht="38.25" customHeight="1">
      <c r="B163" s="1337" t="s">
        <v>427</v>
      </c>
      <c r="C163" s="1337"/>
      <c r="D163" s="1337"/>
      <c r="E163" s="1337"/>
      <c r="F163" s="1337"/>
      <c r="G163" s="1337"/>
    </row>
    <row r="164" spans="1:11" ht="72.599999999999994" customHeight="1">
      <c r="C164" s="613"/>
    </row>
    <row r="165" spans="1:11" s="565" customFormat="1" ht="38.25" customHeight="1">
      <c r="A165" s="623"/>
      <c r="B165" s="1335" t="s">
        <v>624</v>
      </c>
      <c r="C165" s="1336"/>
      <c r="D165" s="1336"/>
      <c r="E165" s="1336"/>
      <c r="F165" s="1336"/>
      <c r="G165" s="1336"/>
    </row>
    <row r="166" spans="1:11" ht="51.75" customHeight="1">
      <c r="C166" s="613"/>
    </row>
    <row r="167" spans="1:11" ht="34.200000000000003" customHeight="1">
      <c r="C167" s="613"/>
    </row>
    <row r="168" spans="1:11" ht="33.75" customHeight="1">
      <c r="A168" s="394"/>
      <c r="B168" s="1334" t="s">
        <v>625</v>
      </c>
      <c r="C168" s="1334"/>
      <c r="D168" s="1334"/>
      <c r="E168" s="1334"/>
      <c r="F168" s="1334"/>
      <c r="G168" s="1334"/>
      <c r="H168" s="498"/>
      <c r="I168" s="498"/>
      <c r="J168" s="498"/>
      <c r="K168" s="498"/>
    </row>
    <row r="169" spans="1:11" ht="13.8">
      <c r="A169" s="394"/>
      <c r="B169" s="1293"/>
      <c r="C169" s="1293"/>
      <c r="D169" s="1293"/>
      <c r="E169" s="1295"/>
      <c r="F169" s="1295"/>
      <c r="G169" s="1295"/>
      <c r="H169" s="1296"/>
      <c r="I169" s="1296"/>
      <c r="J169" s="1296"/>
      <c r="K169" s="1296"/>
    </row>
    <row r="170" spans="1:11" s="1225" customFormat="1">
      <c r="A170" s="1223"/>
      <c r="B170" s="868" t="s">
        <v>443</v>
      </c>
      <c r="C170" s="868">
        <f>IF(COCOCO!$I$24&gt;0,1,0)</f>
        <v>0</v>
      </c>
      <c r="D170" s="1224"/>
      <c r="E170" s="1106" t="s">
        <v>566</v>
      </c>
      <c r="F170" s="1106">
        <f>IF(AND('t1'!L50+'t1'!M50&gt;0,'t1'!E50=0),1,0)</f>
        <v>1</v>
      </c>
      <c r="G170" s="1107"/>
    </row>
    <row r="171" spans="1:11" s="1225" customFormat="1">
      <c r="A171" s="1223"/>
      <c r="B171" s="868" t="s">
        <v>441</v>
      </c>
      <c r="C171" s="868">
        <f>IF('SI_1A(COMUNI-PROVINCE-CITTA_ME)'!$I$180+'SI_1A(UNIONE_COMUNI)'!$I$180+'SI_1A(COMUNITA_MONTANE)'!$I$180&gt;0,1,0)</f>
        <v>1</v>
      </c>
      <c r="D171" s="1224"/>
      <c r="E171" s="1106" t="s">
        <v>43</v>
      </c>
      <c r="F171" s="1108">
        <f>IF(COUNTIF('Squadratura 1'!J6:J49,"ERRORE")=0, 0,1)</f>
        <v>0</v>
      </c>
      <c r="G171" s="1107"/>
    </row>
    <row r="172" spans="1:11" s="1225" customFormat="1">
      <c r="A172" s="1223"/>
      <c r="B172" s="868" t="s">
        <v>801</v>
      </c>
      <c r="C172" s="868">
        <f>IF(SI_1A_CONV!$I$162&gt;0,1,0)</f>
        <v>0</v>
      </c>
      <c r="D172" s="1224"/>
      <c r="E172" s="1106" t="s">
        <v>45</v>
      </c>
      <c r="F172" s="1106">
        <f>IF(OR('Squadratura 2'!G51="ERRORE",'Squadratura 2'!L51="ERRORE"),1,0)</f>
        <v>0</v>
      </c>
      <c r="G172" s="1107"/>
      <c r="K172" s="1226"/>
    </row>
    <row r="173" spans="1:11" s="1225" customFormat="1">
      <c r="A173" s="1223"/>
      <c r="B173" s="868" t="s">
        <v>42</v>
      </c>
      <c r="C173" s="868">
        <f>IF(('t1'!$E$50+'t1'!$L$50+'t1'!$M$50)&gt;0,1,0)</f>
        <v>1</v>
      </c>
      <c r="D173" s="1224"/>
      <c r="E173" s="1106" t="s">
        <v>47</v>
      </c>
      <c r="F173" s="1106">
        <f>IF(OR('Squadratura 3'!N52="ERRORE",'Squadratura 3'!O52="ERRORE",'Squadratura 3'!AA52="ERRORE",'Squadratura 3'!AB52="ERRORE"),1,0)</f>
        <v>1</v>
      </c>
      <c r="G173" s="1106"/>
      <c r="K173" s="1226"/>
    </row>
    <row r="174" spans="1:11" s="1225" customFormat="1">
      <c r="A174" s="1223"/>
      <c r="B174" s="868" t="s">
        <v>44</v>
      </c>
      <c r="C174" s="868">
        <f>IF(SUM('t2'!C11:P11)&gt;0,1,0)</f>
        <v>0</v>
      </c>
      <c r="D174" s="1224"/>
      <c r="E174" s="1106" t="s">
        <v>49</v>
      </c>
      <c r="F174" s="1106">
        <f>IF(COUNTIF('Squadratura 4'!I6:I49,"ERRORE")=0,0,1)</f>
        <v>0</v>
      </c>
      <c r="G174" s="1107"/>
      <c r="K174" s="1226"/>
    </row>
    <row r="175" spans="1:11" s="1225" customFormat="1">
      <c r="A175" s="1223"/>
      <c r="B175" s="868" t="s">
        <v>442</v>
      </c>
      <c r="C175" s="868">
        <f>IF(t2A!$T$17&gt;0,1,0)</f>
        <v>0</v>
      </c>
      <c r="D175" s="1224"/>
      <c r="E175" s="1106" t="s">
        <v>1110</v>
      </c>
      <c r="F175" s="1106">
        <f>IF(OR('SI_1A(COMUNI-PROVINCE-CITTA_ME)'!I181="OK",'SI_1A(UNIONE_COMUNI)'!I181="OK",'SI_1A(COMUNITA_MONTANE)'!I181="OK"),IF('Squadratura 7'!E24=0,0,1),1)</f>
        <v>1</v>
      </c>
      <c r="G175" s="1107"/>
      <c r="K175" s="1226"/>
    </row>
    <row r="176" spans="1:11" s="1225" customFormat="1">
      <c r="A176" s="1223"/>
      <c r="B176" s="868" t="s">
        <v>46</v>
      </c>
      <c r="C176" s="868">
        <f>IF(SUM('t3'!C50:R50)&gt;0,1,0)</f>
        <v>1</v>
      </c>
      <c r="D176" s="1224"/>
      <c r="E176" s="1106" t="s">
        <v>1032</v>
      </c>
      <c r="F176" s="1106">
        <f>IF(OR('t15(1)'!H4&lt;&gt;"OK",'t15(2)'!H4&lt;&gt;"OK"),1,0)</f>
        <v>1</v>
      </c>
      <c r="G176" s="1107"/>
      <c r="K176" s="1226"/>
    </row>
    <row r="177" spans="1:11" s="1225" customFormat="1">
      <c r="A177" s="1223"/>
      <c r="B177" s="868" t="s">
        <v>48</v>
      </c>
      <c r="C177" s="868">
        <f>IF(('t4'!$AU$50)&gt;0,1,0)</f>
        <v>0</v>
      </c>
      <c r="D177" s="1224"/>
      <c r="E177" s="1106" t="s">
        <v>1019</v>
      </c>
      <c r="F177" s="1106">
        <f>IF(OR('SICI(1)'!F2&lt;&gt;"OK",'SICI(2)'!F2&lt;&gt;"OK"),1,0)</f>
        <v>1</v>
      </c>
      <c r="G177" s="1107"/>
      <c r="K177" s="1226"/>
    </row>
    <row r="178" spans="1:11" s="1225" customFormat="1">
      <c r="A178" s="1223"/>
      <c r="B178" s="868" t="s">
        <v>50</v>
      </c>
      <c r="C178" s="868">
        <f>IF(('t5'!$S$51+'t5'!$T$51)&gt;0,1,0)</f>
        <v>1</v>
      </c>
      <c r="D178" s="1224"/>
      <c r="E178" s="1106" t="s">
        <v>53</v>
      </c>
      <c r="F178" s="1106">
        <f>IF(COUNTIF('Incongruenze 1 e 11'!D5:D7,"OK")=3,0,1)</f>
        <v>0</v>
      </c>
      <c r="G178" s="1107"/>
      <c r="K178" s="1226"/>
    </row>
    <row r="179" spans="1:11" s="1225" customFormat="1">
      <c r="A179" s="1223"/>
      <c r="B179" s="868" t="s">
        <v>51</v>
      </c>
      <c r="C179" s="868">
        <f>IF(('t6'!$U$51+'t6'!$V$51)&gt;0,1,0)</f>
        <v>1</v>
      </c>
      <c r="D179" s="1224"/>
      <c r="E179" s="1106" t="s">
        <v>55</v>
      </c>
      <c r="F179" s="1106">
        <f>IF(COUNTIF('Incongruenza 2'!I6:I49,"ERRORE")=0,0,1)</f>
        <v>0</v>
      </c>
      <c r="G179" s="1107"/>
      <c r="K179" s="1226"/>
    </row>
    <row r="180" spans="1:11" s="1225" customFormat="1">
      <c r="A180" s="1223"/>
      <c r="B180" s="868" t="s">
        <v>52</v>
      </c>
      <c r="C180" s="868">
        <f>IF(('t7'!$W$50+'t7'!$X$50)&gt;0,1,0)</f>
        <v>1</v>
      </c>
      <c r="D180" s="1224"/>
      <c r="E180" s="1106" t="s">
        <v>777</v>
      </c>
      <c r="F180" s="1106">
        <f>IF(COUNTIF('Incongruenze 3, 12 e 13'!D5:D7,"OK")=3,0,1)</f>
        <v>0</v>
      </c>
      <c r="G180" s="1107"/>
    </row>
    <row r="181" spans="1:11" s="1225" customFormat="1">
      <c r="A181" s="1223"/>
      <c r="B181" s="868" t="s">
        <v>54</v>
      </c>
      <c r="C181" s="868">
        <f>IF(('t8'!$AA$50+'t8'!$AB$50)&gt;0,1,0)</f>
        <v>1</v>
      </c>
      <c r="D181" s="1224"/>
      <c r="E181" s="1106" t="s">
        <v>57</v>
      </c>
      <c r="F181" s="1106">
        <f>IF(OR(AND('Incongruenza 4 e controlli t14'!F21=" ",'Incongruenza 4 e controlli t14'!F23=" "),AND('Incongruenza 4 e controlli t14'!F21="OK",'Incongruenza 4 e controlli t14'!F23="OK"),AND('Incongruenza 4 e controlli t14'!F23="E' stata dichiarata IRAP Commerciale")),0,1)</f>
        <v>0</v>
      </c>
      <c r="G181" s="1107"/>
    </row>
    <row r="182" spans="1:11" s="1225" customFormat="1">
      <c r="A182" s="1223"/>
      <c r="B182" s="868" t="s">
        <v>56</v>
      </c>
      <c r="C182" s="868">
        <f>IF(('t9'!$O$50+'t9'!$P$50)&gt;0,1,0)</f>
        <v>1</v>
      </c>
      <c r="D182" s="1224"/>
      <c r="E182" s="1106" t="s">
        <v>59</v>
      </c>
      <c r="F182" s="1106">
        <f>IF(COUNTIF('Incongruenza 5'!G6:G49,"ERRORE")=0,0,1)</f>
        <v>0</v>
      </c>
      <c r="G182" s="1107"/>
    </row>
    <row r="183" spans="1:11" s="1225" customFormat="1">
      <c r="A183" s="1223"/>
      <c r="B183" s="868" t="s">
        <v>58</v>
      </c>
      <c r="C183" s="868">
        <f>IF(('t10'!$AU$50+'t10'!$AV$50)&gt;0,1,0)</f>
        <v>0</v>
      </c>
      <c r="D183" s="1224"/>
      <c r="E183" s="1106" t="s">
        <v>61</v>
      </c>
      <c r="F183" s="1106">
        <f>IF(COUNTIF('Incongruenza 6'!E6:E49,"ERRORE")=0,0,1)</f>
        <v>1</v>
      </c>
      <c r="G183" s="1107"/>
    </row>
    <row r="184" spans="1:11" s="1225" customFormat="1">
      <c r="A184" s="1223"/>
      <c r="B184" s="868" t="s">
        <v>60</v>
      </c>
      <c r="C184" s="868">
        <f>IF(('t11'!$U$52+'t11'!$V$52)&gt;0,1,0)</f>
        <v>1</v>
      </c>
      <c r="D184" s="1224"/>
      <c r="E184" s="1106" t="s">
        <v>63</v>
      </c>
      <c r="F184" s="1106">
        <f>IF(COUNTIF('Incongruenza 7'!I6:I49,"ERRORE")=0,0,1)</f>
        <v>1</v>
      </c>
      <c r="G184" s="1107"/>
    </row>
    <row r="185" spans="1:11" s="1225" customFormat="1">
      <c r="A185" s="1223"/>
      <c r="B185" s="868" t="s">
        <v>62</v>
      </c>
      <c r="C185" s="868">
        <f>IF(('t12'!$J$50+'t12'!$C$50)&gt;0,1,0)</f>
        <v>1</v>
      </c>
      <c r="D185" s="1224"/>
      <c r="E185" s="1106" t="s">
        <v>683</v>
      </c>
      <c r="F185" s="1106">
        <f>IF(COUNTIF('Incongruenza 8'!J6:J49,"ERRORE")=0,0,1)</f>
        <v>0</v>
      </c>
      <c r="G185" s="1107"/>
    </row>
    <row r="186" spans="1:11" s="1225" customFormat="1">
      <c r="A186" s="1223"/>
      <c r="B186" s="868" t="s">
        <v>64</v>
      </c>
      <c r="C186" s="868">
        <f>IF(('t13'!$W$50)&gt;0,1,0)</f>
        <v>1</v>
      </c>
      <c r="D186" s="1224"/>
      <c r="E186" s="1106" t="s">
        <v>813</v>
      </c>
      <c r="F186" s="1106">
        <f>IF(OR('t15(1)'!H18&lt;&gt;"OK",'t15(2)'!H18&lt;&gt;"ok"),1,0)</f>
        <v>0</v>
      </c>
      <c r="G186" s="1107"/>
    </row>
    <row r="187" spans="1:11" s="1225" customFormat="1">
      <c r="A187" s="1223"/>
      <c r="B187" s="868" t="s">
        <v>65</v>
      </c>
      <c r="C187" s="868">
        <f>IF(('Incongruenza 4 e controlli t14'!$C$31)&gt;0,1,0)</f>
        <v>1</v>
      </c>
      <c r="D187" s="1224"/>
      <c r="E187" s="1107" t="s">
        <v>831</v>
      </c>
      <c r="F187" s="1106">
        <f>IF(COUNTIF('Incongruenza 10'!K11:L11,"OK")=2,0,1)</f>
        <v>0</v>
      </c>
      <c r="G187" s="1106"/>
      <c r="K187" s="1226"/>
    </row>
    <row r="188" spans="1:11" s="1225" customFormat="1">
      <c r="A188" s="1223"/>
      <c r="B188" s="868" t="s">
        <v>66</v>
      </c>
      <c r="C188" s="868">
        <f>IF(('t15(1)'!C41+'t15(1)'!G41+'t15(2)'!C43+'t15(2)'!G43)&gt;0,1,0)</f>
        <v>1</v>
      </c>
      <c r="D188" s="1224"/>
      <c r="E188" s="1106" t="s">
        <v>868</v>
      </c>
      <c r="F188" s="1106">
        <f>IF(COUNTIF('Incongruenze 1 e 11'!D13:D20,"OK")=6,0,1)</f>
        <v>0</v>
      </c>
      <c r="G188" s="1107"/>
    </row>
    <row r="189" spans="1:11" s="1225" customFormat="1">
      <c r="A189" s="1223"/>
      <c r="B189" s="868" t="s">
        <v>1018</v>
      </c>
      <c r="C189" s="868">
        <f>IF(('SICI(1)'!N9+'SICI(2)'!N9)&gt;0,1,0)</f>
        <v>0</v>
      </c>
      <c r="D189" s="1224"/>
      <c r="E189" s="1106" t="s">
        <v>870</v>
      </c>
      <c r="F189" s="1106">
        <f>IF(COUNTIF('Incongruenze 3, 12 e 13'!D13:D14,"OK")=2,0,1)</f>
        <v>0</v>
      </c>
      <c r="G189" s="1107"/>
    </row>
    <row r="190" spans="1:11" s="1225" customFormat="1">
      <c r="A190" s="1223"/>
      <c r="B190" s="868" t="s">
        <v>744</v>
      </c>
      <c r="C190" s="868">
        <f>IF(('Tabella Riconciliazione'!$F$32)&gt;0,1,0)</f>
        <v>0</v>
      </c>
      <c r="D190" s="1224"/>
      <c r="E190" s="1106" t="s">
        <v>871</v>
      </c>
      <c r="F190" s="1106">
        <f>IF(COUNTIF('Incongruenze 3, 12 e 13'!D20,"OK")=1,0,1)</f>
        <v>0</v>
      </c>
      <c r="G190" s="1107"/>
    </row>
    <row r="191" spans="1:11" s="1225" customFormat="1">
      <c r="A191" s="1223"/>
      <c r="B191" s="1224"/>
      <c r="C191" s="1224"/>
      <c r="D191" s="1224"/>
      <c r="E191" s="1106" t="s">
        <v>872</v>
      </c>
      <c r="F191" s="1106">
        <f>IF(COUNTIF('Incongruenza 14'!G6:G49,"ERRORE")=0,0,1)</f>
        <v>0</v>
      </c>
      <c r="G191" s="1107"/>
    </row>
    <row r="192" spans="1:11" s="1225" customFormat="1">
      <c r="A192" s="1223"/>
      <c r="B192" s="1224"/>
      <c r="C192" s="1224"/>
      <c r="D192" s="1224"/>
      <c r="E192" s="1106" t="s">
        <v>1020</v>
      </c>
      <c r="F192" s="1106">
        <f>IF(OR('t15(1)'!H11&lt;&gt;"OK",'t15(2)'!H11&lt;&gt;"ok"),1,0)</f>
        <v>0</v>
      </c>
      <c r="G192" s="1107"/>
    </row>
    <row r="193" spans="1:11" s="1225" customFormat="1">
      <c r="A193" s="1223"/>
      <c r="B193" s="1224"/>
      <c r="C193" s="1224"/>
      <c r="D193" s="1224"/>
      <c r="E193" s="1106" t="s">
        <v>1021</v>
      </c>
      <c r="F193" s="1106">
        <f>IF(OR('SICI(1)'!F6&lt;&gt;"OK",'SICI(2)'!F6&lt;&gt;"ok"),1,0)</f>
        <v>0</v>
      </c>
      <c r="G193" s="1107"/>
    </row>
    <row r="194" spans="1:11" s="1225" customFormat="1">
      <c r="A194" s="1223"/>
      <c r="B194" s="1224"/>
      <c r="C194" s="1224"/>
      <c r="D194" s="1224"/>
      <c r="E194" s="1107"/>
      <c r="F194" s="1107"/>
      <c r="G194" s="1107"/>
    </row>
    <row r="195" spans="1:11" s="498" customFormat="1">
      <c r="A195" s="1223"/>
      <c r="B195" s="1224"/>
      <c r="C195" s="1224"/>
      <c r="D195" s="1224"/>
      <c r="E195" s="1224"/>
      <c r="F195" s="1224"/>
      <c r="G195" s="1224"/>
      <c r="H195" s="1225"/>
      <c r="I195" s="1225"/>
      <c r="J195" s="1225"/>
      <c r="K195" s="1225"/>
    </row>
    <row r="196" spans="1:11" s="498" customFormat="1">
      <c r="A196" s="1294"/>
      <c r="B196" s="1295"/>
      <c r="C196" s="1295"/>
      <c r="D196" s="1295"/>
      <c r="E196" s="1295"/>
      <c r="F196" s="1295"/>
      <c r="G196" s="1295"/>
      <c r="H196" s="1296"/>
      <c r="I196" s="1296"/>
      <c r="J196" s="1296"/>
      <c r="K196" s="1296"/>
    </row>
    <row r="197" spans="1:11" s="498" customFormat="1">
      <c r="A197" s="1294"/>
      <c r="B197" s="1295"/>
      <c r="C197" s="1295"/>
      <c r="D197" s="1295"/>
      <c r="E197" s="1295"/>
      <c r="F197" s="1295"/>
      <c r="G197" s="1295"/>
      <c r="H197" s="1296"/>
      <c r="I197" s="1296"/>
      <c r="J197" s="1296"/>
      <c r="K197" s="1296"/>
    </row>
    <row r="198" spans="1:11" s="498" customFormat="1">
      <c r="A198" s="1294"/>
      <c r="B198" s="1295"/>
      <c r="C198" s="1295"/>
      <c r="D198" s="1295"/>
      <c r="E198" s="1295"/>
      <c r="F198" s="1295"/>
      <c r="G198" s="1295"/>
      <c r="H198" s="1296"/>
      <c r="I198" s="1296"/>
      <c r="J198" s="1296"/>
      <c r="K198" s="1296"/>
    </row>
    <row r="199" spans="1:11" s="498" customFormat="1">
      <c r="A199" s="1294"/>
      <c r="B199" s="1295"/>
      <c r="C199" s="1295"/>
      <c r="D199" s="1295"/>
      <c r="E199" s="1295"/>
      <c r="F199" s="1295"/>
      <c r="G199" s="1295"/>
      <c r="H199" s="1296"/>
      <c r="I199" s="1296"/>
      <c r="J199" s="1296"/>
      <c r="K199" s="1296"/>
    </row>
    <row r="200" spans="1:11" s="498" customFormat="1">
      <c r="A200" s="1294"/>
      <c r="B200" s="1295"/>
      <c r="C200" s="1295"/>
      <c r="D200" s="1295"/>
      <c r="E200" s="1295"/>
      <c r="F200" s="1295"/>
      <c r="G200" s="1295"/>
      <c r="H200" s="1296"/>
      <c r="I200" s="1296"/>
      <c r="J200" s="1296"/>
      <c r="K200" s="1296"/>
    </row>
    <row r="201" spans="1:11" s="500" customFormat="1">
      <c r="A201" s="1294"/>
      <c r="B201" s="1295"/>
      <c r="C201" s="1295"/>
      <c r="D201" s="1295"/>
      <c r="E201" s="396"/>
      <c r="F201" s="396"/>
      <c r="G201" s="396"/>
    </row>
    <row r="202" spans="1:11" s="500" customFormat="1">
      <c r="A202" s="1294"/>
      <c r="B202" s="1295"/>
      <c r="C202" s="1295"/>
      <c r="D202" s="1295"/>
      <c r="E202" s="396"/>
      <c r="F202" s="396"/>
      <c r="G202" s="396"/>
    </row>
    <row r="203" spans="1:11" s="500" customFormat="1">
      <c r="A203" s="1294"/>
      <c r="B203" s="1295"/>
      <c r="C203" s="1295"/>
      <c r="D203" s="1295"/>
      <c r="E203" s="396"/>
      <c r="F203" s="396"/>
      <c r="G203" s="396"/>
    </row>
    <row r="204" spans="1:11" s="500" customFormat="1">
      <c r="A204" s="499"/>
      <c r="B204" s="396"/>
      <c r="C204" s="396"/>
      <c r="D204" s="396"/>
      <c r="E204" s="396"/>
      <c r="F204" s="396"/>
      <c r="G204" s="396"/>
    </row>
    <row r="205" spans="1:11" s="500" customFormat="1">
      <c r="A205" s="499"/>
      <c r="B205" s="396"/>
      <c r="C205" s="396"/>
      <c r="D205" s="396"/>
      <c r="E205" s="396"/>
      <c r="F205" s="396"/>
      <c r="G205" s="396"/>
    </row>
    <row r="206" spans="1:11" s="500" customFormat="1">
      <c r="A206" s="499"/>
      <c r="B206" s="396"/>
      <c r="C206" s="396"/>
      <c r="D206" s="396"/>
      <c r="E206" s="396"/>
      <c r="F206" s="396"/>
      <c r="G206" s="396"/>
    </row>
    <row r="207" spans="1:11" s="500" customFormat="1">
      <c r="A207" s="499"/>
      <c r="B207" s="396"/>
      <c r="C207" s="396"/>
      <c r="D207" s="396"/>
      <c r="E207" s="396"/>
      <c r="F207" s="396"/>
      <c r="G207" s="396"/>
    </row>
    <row r="208" spans="1:11" s="500" customFormat="1">
      <c r="A208" s="499"/>
      <c r="B208" s="396"/>
      <c r="C208" s="396"/>
      <c r="D208" s="396"/>
      <c r="E208" s="396"/>
      <c r="F208" s="396"/>
      <c r="G208" s="396"/>
    </row>
    <row r="209" spans="1:7" s="500" customFormat="1">
      <c r="A209" s="499"/>
      <c r="B209" s="396"/>
      <c r="C209" s="396"/>
      <c r="D209" s="396"/>
      <c r="E209" s="396"/>
      <c r="F209" s="396"/>
      <c r="G209" s="396"/>
    </row>
    <row r="210" spans="1:7" s="500" customFormat="1">
      <c r="A210" s="499"/>
      <c r="B210" s="396"/>
      <c r="C210" s="396"/>
      <c r="D210" s="396"/>
      <c r="E210" s="396"/>
      <c r="F210" s="396"/>
      <c r="G210" s="396"/>
    </row>
    <row r="211" spans="1:7" s="500" customFormat="1">
      <c r="A211" s="499"/>
      <c r="B211" s="396"/>
      <c r="C211" s="396"/>
      <c r="D211" s="396"/>
      <c r="E211" s="396"/>
      <c r="F211" s="396"/>
      <c r="G211" s="396"/>
    </row>
    <row r="212" spans="1:7" s="500" customFormat="1">
      <c r="A212" s="499"/>
      <c r="B212" s="396"/>
      <c r="C212" s="396"/>
      <c r="D212" s="396"/>
      <c r="E212" s="396"/>
      <c r="F212" s="396"/>
      <c r="G212" s="396"/>
    </row>
    <row r="213" spans="1:7" s="500" customFormat="1">
      <c r="A213" s="499"/>
      <c r="B213" s="396"/>
      <c r="C213" s="396"/>
      <c r="D213" s="396"/>
      <c r="E213" s="396"/>
      <c r="F213" s="396"/>
      <c r="G213" s="396"/>
    </row>
    <row r="214" spans="1:7" s="500" customFormat="1">
      <c r="A214" s="499"/>
      <c r="B214" s="396"/>
      <c r="C214" s="396"/>
      <c r="D214" s="396"/>
      <c r="E214" s="396"/>
      <c r="F214" s="396"/>
      <c r="G214" s="396"/>
    </row>
    <row r="215" spans="1:7" s="500" customFormat="1">
      <c r="A215" s="499"/>
      <c r="B215" s="396"/>
      <c r="C215" s="396"/>
      <c r="D215" s="396"/>
      <c r="E215" s="396"/>
      <c r="F215" s="396"/>
      <c r="G215" s="396"/>
    </row>
    <row r="216" spans="1:7" s="500" customFormat="1">
      <c r="A216" s="499"/>
      <c r="B216" s="396"/>
      <c r="C216" s="396"/>
      <c r="D216" s="396"/>
      <c r="E216" s="396"/>
      <c r="F216" s="396"/>
      <c r="G216" s="396"/>
    </row>
    <row r="217" spans="1:7" s="500" customFormat="1">
      <c r="A217" s="499"/>
      <c r="B217" s="396"/>
      <c r="C217" s="396"/>
      <c r="D217" s="396"/>
      <c r="E217" s="396"/>
      <c r="F217" s="396"/>
      <c r="G217" s="396"/>
    </row>
    <row r="218" spans="1:7" s="500" customFormat="1">
      <c r="A218" s="499"/>
      <c r="B218" s="396"/>
      <c r="C218" s="396"/>
      <c r="D218" s="396"/>
      <c r="E218" s="396"/>
      <c r="F218" s="396"/>
      <c r="G218" s="396"/>
    </row>
    <row r="219" spans="1:7" s="500" customFormat="1">
      <c r="A219" s="499"/>
      <c r="B219" s="396"/>
      <c r="C219" s="396"/>
      <c r="D219" s="396"/>
      <c r="E219" s="396"/>
      <c r="F219" s="396"/>
      <c r="G219" s="396"/>
    </row>
    <row r="220" spans="1:7" s="500" customFormat="1">
      <c r="A220" s="499"/>
      <c r="B220" s="396"/>
      <c r="C220" s="396"/>
      <c r="D220" s="396"/>
      <c r="E220" s="396"/>
      <c r="F220" s="396"/>
      <c r="G220" s="396"/>
    </row>
    <row r="221" spans="1:7" s="500" customFormat="1">
      <c r="A221" s="499"/>
      <c r="B221" s="396"/>
      <c r="C221" s="396"/>
      <c r="D221" s="396"/>
      <c r="E221" s="396"/>
      <c r="F221" s="396"/>
      <c r="G221" s="396"/>
    </row>
    <row r="222" spans="1:7" s="500" customFormat="1">
      <c r="A222" s="499"/>
      <c r="B222" s="396"/>
      <c r="C222" s="396"/>
      <c r="D222" s="396"/>
      <c r="E222" s="396"/>
      <c r="F222" s="396"/>
      <c r="G222" s="396"/>
    </row>
    <row r="223" spans="1:7" s="500" customFormat="1">
      <c r="A223" s="499"/>
      <c r="B223" s="396"/>
      <c r="C223" s="396"/>
      <c r="D223" s="396"/>
      <c r="E223" s="396"/>
      <c r="F223" s="396"/>
      <c r="G223" s="396"/>
    </row>
    <row r="224" spans="1:7" s="500" customFormat="1">
      <c r="A224" s="499"/>
      <c r="B224" s="396"/>
      <c r="C224" s="396"/>
      <c r="D224" s="396"/>
      <c r="E224" s="396"/>
      <c r="F224" s="396"/>
      <c r="G224" s="396"/>
    </row>
    <row r="225" spans="1:7" s="500" customFormat="1">
      <c r="A225" s="499"/>
      <c r="B225" s="396"/>
      <c r="C225" s="396"/>
      <c r="D225" s="396"/>
      <c r="E225" s="396"/>
      <c r="F225" s="396"/>
      <c r="G225" s="396"/>
    </row>
    <row r="226" spans="1:7" s="500" customFormat="1">
      <c r="A226" s="499"/>
      <c r="B226" s="396"/>
      <c r="C226" s="396"/>
      <c r="D226" s="396"/>
      <c r="E226" s="396"/>
      <c r="F226" s="396"/>
      <c r="G226" s="396"/>
    </row>
    <row r="227" spans="1:7" s="500" customFormat="1">
      <c r="A227" s="499"/>
      <c r="B227" s="396"/>
      <c r="C227" s="396"/>
      <c r="D227" s="396"/>
      <c r="E227" s="396"/>
      <c r="F227" s="396"/>
      <c r="G227" s="396"/>
    </row>
    <row r="228" spans="1:7" s="500" customFormat="1">
      <c r="A228" s="499"/>
      <c r="B228" s="396"/>
      <c r="C228" s="396"/>
      <c r="D228" s="396"/>
      <c r="E228" s="396"/>
      <c r="F228" s="396"/>
      <c r="G228" s="396"/>
    </row>
    <row r="229" spans="1:7" s="500" customFormat="1">
      <c r="A229" s="499"/>
      <c r="B229" s="396"/>
      <c r="C229" s="396"/>
      <c r="D229" s="396"/>
      <c r="E229" s="396"/>
      <c r="F229" s="396"/>
      <c r="G229" s="396"/>
    </row>
    <row r="230" spans="1:7" s="500" customFormat="1">
      <c r="A230" s="499"/>
      <c r="B230" s="396"/>
      <c r="C230" s="396"/>
      <c r="D230" s="396"/>
      <c r="E230" s="396"/>
      <c r="F230" s="396"/>
      <c r="G230" s="396"/>
    </row>
    <row r="231" spans="1:7" s="500" customFormat="1">
      <c r="A231" s="499"/>
      <c r="B231" s="396"/>
      <c r="C231" s="396"/>
      <c r="D231" s="396"/>
      <c r="E231" s="396"/>
      <c r="F231" s="396"/>
      <c r="G231" s="396"/>
    </row>
    <row r="232" spans="1:7" s="500" customFormat="1">
      <c r="A232" s="499"/>
      <c r="B232" s="396"/>
      <c r="C232" s="396"/>
      <c r="D232" s="396"/>
      <c r="E232" s="396"/>
      <c r="F232" s="396"/>
      <c r="G232" s="396"/>
    </row>
    <row r="233" spans="1:7" s="500" customFormat="1">
      <c r="A233" s="499"/>
      <c r="B233" s="396"/>
      <c r="C233" s="396"/>
      <c r="D233" s="396"/>
      <c r="E233" s="396"/>
      <c r="F233" s="396"/>
      <c r="G233" s="396"/>
    </row>
    <row r="234" spans="1:7" s="500" customFormat="1">
      <c r="A234" s="499"/>
      <c r="B234" s="396"/>
      <c r="C234" s="396"/>
      <c r="D234" s="396"/>
      <c r="E234" s="396"/>
      <c r="F234" s="396"/>
      <c r="G234" s="396"/>
    </row>
    <row r="235" spans="1:7" s="500" customFormat="1">
      <c r="A235" s="499"/>
      <c r="B235" s="396"/>
      <c r="C235" s="396"/>
      <c r="D235" s="396"/>
      <c r="E235" s="396"/>
      <c r="F235" s="396"/>
      <c r="G235" s="396"/>
    </row>
    <row r="236" spans="1:7" s="500" customFormat="1">
      <c r="A236" s="499"/>
      <c r="B236" s="396"/>
      <c r="C236" s="396"/>
      <c r="D236" s="396"/>
      <c r="E236" s="396"/>
      <c r="F236" s="396"/>
      <c r="G236" s="396"/>
    </row>
    <row r="237" spans="1:7" s="500" customFormat="1">
      <c r="A237" s="499"/>
      <c r="B237" s="396"/>
      <c r="C237" s="396"/>
      <c r="D237" s="396"/>
      <c r="E237" s="396"/>
      <c r="F237" s="396"/>
      <c r="G237" s="396"/>
    </row>
    <row r="238" spans="1:7" s="500" customFormat="1">
      <c r="A238" s="499"/>
      <c r="B238" s="396"/>
      <c r="C238" s="396"/>
      <c r="D238" s="396"/>
      <c r="E238" s="396"/>
      <c r="F238" s="396"/>
      <c r="G238" s="396"/>
    </row>
    <row r="239" spans="1:7" s="500" customFormat="1">
      <c r="A239" s="499"/>
      <c r="B239" s="396"/>
      <c r="C239" s="396"/>
      <c r="D239" s="396"/>
      <c r="E239" s="396"/>
      <c r="F239" s="396"/>
      <c r="G239" s="396"/>
    </row>
    <row r="240" spans="1:7" s="500" customFormat="1">
      <c r="A240" s="499"/>
      <c r="B240" s="396"/>
      <c r="C240" s="396"/>
      <c r="D240" s="396"/>
      <c r="E240" s="396"/>
      <c r="F240" s="396"/>
      <c r="G240" s="396"/>
    </row>
    <row r="241" spans="1:7" s="500" customFormat="1">
      <c r="A241" s="499"/>
      <c r="B241" s="396"/>
      <c r="C241" s="396"/>
      <c r="D241" s="396"/>
      <c r="E241" s="396"/>
      <c r="F241" s="396"/>
      <c r="G241" s="396"/>
    </row>
    <row r="242" spans="1:7" s="500" customFormat="1">
      <c r="A242" s="499"/>
      <c r="B242" s="396"/>
      <c r="C242" s="396"/>
      <c r="D242" s="396"/>
      <c r="E242" s="396"/>
      <c r="F242" s="396"/>
      <c r="G242" s="396"/>
    </row>
    <row r="243" spans="1:7" s="500" customFormat="1">
      <c r="A243" s="499"/>
      <c r="B243" s="396"/>
      <c r="C243" s="396"/>
      <c r="D243" s="396"/>
      <c r="E243" s="396"/>
      <c r="F243" s="396"/>
      <c r="G243" s="396"/>
    </row>
    <row r="244" spans="1:7" s="500" customFormat="1">
      <c r="A244" s="499"/>
      <c r="B244" s="396"/>
      <c r="C244" s="396"/>
      <c r="D244" s="396"/>
      <c r="E244" s="396"/>
      <c r="F244" s="396"/>
      <c r="G244" s="396"/>
    </row>
    <row r="245" spans="1:7" s="500" customFormat="1">
      <c r="A245" s="499"/>
      <c r="B245" s="396"/>
      <c r="C245" s="396"/>
      <c r="D245" s="396"/>
      <c r="E245" s="396"/>
      <c r="F245" s="396"/>
      <c r="G245" s="396"/>
    </row>
    <row r="246" spans="1:7" s="500" customFormat="1">
      <c r="A246" s="499"/>
      <c r="B246" s="396"/>
      <c r="C246" s="396"/>
      <c r="D246" s="396"/>
      <c r="E246" s="396"/>
      <c r="F246" s="396"/>
      <c r="G246" s="396"/>
    </row>
    <row r="247" spans="1:7" s="500" customFormat="1">
      <c r="A247" s="499"/>
      <c r="B247" s="396"/>
      <c r="C247" s="396"/>
      <c r="D247" s="396"/>
      <c r="E247" s="396"/>
      <c r="F247" s="396"/>
      <c r="G247" s="396"/>
    </row>
    <row r="248" spans="1:7" s="500" customFormat="1">
      <c r="A248" s="499"/>
      <c r="B248" s="396"/>
      <c r="C248" s="396"/>
      <c r="D248" s="396"/>
      <c r="E248" s="396"/>
      <c r="F248" s="396"/>
      <c r="G248" s="396"/>
    </row>
    <row r="249" spans="1:7" s="500" customFormat="1">
      <c r="A249" s="499"/>
      <c r="B249" s="396"/>
      <c r="C249" s="396"/>
      <c r="D249" s="396"/>
      <c r="E249" s="396"/>
      <c r="F249" s="396"/>
      <c r="G249" s="396"/>
    </row>
    <row r="250" spans="1:7" s="500" customFormat="1">
      <c r="A250" s="499"/>
      <c r="B250" s="396"/>
      <c r="C250" s="396"/>
      <c r="D250" s="396"/>
      <c r="E250" s="396"/>
      <c r="F250" s="396"/>
      <c r="G250" s="396"/>
    </row>
    <row r="251" spans="1:7" s="500" customFormat="1">
      <c r="A251" s="499"/>
      <c r="B251" s="396"/>
      <c r="C251" s="396"/>
      <c r="D251" s="396"/>
      <c r="E251" s="396"/>
      <c r="F251" s="396"/>
      <c r="G251" s="396"/>
    </row>
    <row r="252" spans="1:7" s="500" customFormat="1">
      <c r="A252" s="499"/>
      <c r="B252" s="396"/>
      <c r="C252" s="396"/>
      <c r="D252" s="396"/>
      <c r="E252" s="396"/>
      <c r="F252" s="396"/>
      <c r="G252" s="396"/>
    </row>
    <row r="253" spans="1:7" s="500" customFormat="1">
      <c r="A253" s="499"/>
      <c r="B253" s="396"/>
      <c r="C253" s="396"/>
      <c r="D253" s="396"/>
      <c r="E253" s="396"/>
      <c r="F253" s="396"/>
      <c r="G253" s="396"/>
    </row>
    <row r="254" spans="1:7" s="500" customFormat="1">
      <c r="A254" s="499"/>
      <c r="B254" s="396"/>
      <c r="C254" s="396"/>
      <c r="D254" s="396"/>
      <c r="E254" s="396"/>
      <c r="F254" s="396"/>
      <c r="G254" s="396"/>
    </row>
    <row r="255" spans="1:7" s="500" customFormat="1">
      <c r="A255" s="499"/>
      <c r="B255" s="396"/>
      <c r="C255" s="396"/>
      <c r="D255" s="396"/>
      <c r="E255" s="396"/>
      <c r="F255" s="396"/>
      <c r="G255" s="396"/>
    </row>
    <row r="256" spans="1:7" s="500" customFormat="1">
      <c r="A256" s="499"/>
      <c r="B256" s="396"/>
      <c r="C256" s="396"/>
      <c r="D256" s="396"/>
      <c r="E256" s="396"/>
      <c r="F256" s="396"/>
      <c r="G256" s="396"/>
    </row>
    <row r="257" spans="1:7" s="500" customFormat="1">
      <c r="A257" s="499"/>
      <c r="B257" s="396"/>
      <c r="C257" s="396"/>
      <c r="D257" s="396"/>
      <c r="E257" s="396"/>
      <c r="F257" s="396"/>
      <c r="G257" s="396"/>
    </row>
    <row r="258" spans="1:7" s="500" customFormat="1">
      <c r="A258" s="499"/>
      <c r="B258" s="396"/>
      <c r="C258" s="396"/>
      <c r="D258" s="396"/>
      <c r="E258" s="396"/>
      <c r="F258" s="396"/>
      <c r="G258" s="396"/>
    </row>
    <row r="259" spans="1:7" s="500" customFormat="1">
      <c r="A259" s="499"/>
      <c r="B259" s="396"/>
      <c r="C259" s="396"/>
      <c r="D259" s="396"/>
      <c r="E259" s="396"/>
      <c r="F259" s="396"/>
      <c r="G259" s="396"/>
    </row>
    <row r="260" spans="1:7" s="500" customFormat="1">
      <c r="A260" s="499"/>
      <c r="B260" s="396"/>
      <c r="C260" s="396"/>
      <c r="D260" s="396"/>
      <c r="E260" s="396"/>
      <c r="F260" s="396"/>
      <c r="G260" s="396"/>
    </row>
    <row r="261" spans="1:7" s="500" customFormat="1">
      <c r="A261" s="499"/>
      <c r="B261" s="396"/>
      <c r="C261" s="396"/>
      <c r="D261" s="396"/>
      <c r="E261" s="396"/>
      <c r="F261" s="396"/>
      <c r="G261" s="396"/>
    </row>
    <row r="262" spans="1:7" s="500" customFormat="1">
      <c r="A262" s="499"/>
      <c r="B262" s="396"/>
      <c r="C262" s="396"/>
      <c r="D262" s="396"/>
      <c r="E262" s="396"/>
      <c r="F262" s="396"/>
      <c r="G262" s="396"/>
    </row>
    <row r="263" spans="1:7" s="500" customFormat="1">
      <c r="A263" s="499"/>
      <c r="B263" s="396"/>
      <c r="C263" s="396"/>
      <c r="D263" s="396"/>
      <c r="E263" s="396"/>
      <c r="F263" s="396"/>
      <c r="G263" s="396"/>
    </row>
    <row r="264" spans="1:7" s="500" customFormat="1">
      <c r="A264" s="499"/>
      <c r="B264" s="396"/>
      <c r="C264" s="396"/>
      <c r="D264" s="396"/>
      <c r="E264" s="396"/>
      <c r="F264" s="396"/>
      <c r="G264" s="396"/>
    </row>
    <row r="265" spans="1:7" s="500" customFormat="1">
      <c r="A265" s="499"/>
      <c r="B265" s="396"/>
      <c r="C265" s="396"/>
      <c r="D265" s="396"/>
      <c r="E265" s="396"/>
      <c r="F265" s="396"/>
      <c r="G265" s="396"/>
    </row>
    <row r="266" spans="1:7" s="500" customFormat="1">
      <c r="A266" s="499"/>
      <c r="B266" s="396"/>
      <c r="C266" s="396"/>
      <c r="D266" s="396"/>
      <c r="E266" s="396"/>
      <c r="F266" s="396"/>
      <c r="G266" s="396"/>
    </row>
    <row r="267" spans="1:7" s="500" customFormat="1">
      <c r="A267" s="499"/>
      <c r="B267" s="396"/>
      <c r="C267" s="396"/>
      <c r="D267" s="396"/>
      <c r="E267" s="396"/>
      <c r="F267" s="396"/>
      <c r="G267" s="396"/>
    </row>
    <row r="268" spans="1:7" s="500" customFormat="1">
      <c r="A268" s="499"/>
      <c r="B268" s="396"/>
      <c r="C268" s="396"/>
      <c r="D268" s="396"/>
      <c r="E268" s="396"/>
      <c r="F268" s="396"/>
      <c r="G268" s="396"/>
    </row>
    <row r="269" spans="1:7" s="500" customFormat="1">
      <c r="A269" s="499"/>
      <c r="B269" s="396"/>
      <c r="C269" s="396"/>
      <c r="D269" s="396"/>
      <c r="E269" s="396"/>
      <c r="F269" s="396"/>
      <c r="G269" s="396"/>
    </row>
    <row r="270" spans="1:7" s="500" customFormat="1">
      <c r="A270" s="499"/>
      <c r="B270" s="396"/>
      <c r="C270" s="396"/>
      <c r="D270" s="396"/>
      <c r="E270" s="396"/>
      <c r="F270" s="396"/>
      <c r="G270" s="396"/>
    </row>
    <row r="271" spans="1:7" s="500" customFormat="1">
      <c r="A271" s="499"/>
      <c r="B271" s="396"/>
      <c r="C271" s="396"/>
      <c r="D271" s="396"/>
      <c r="E271" s="396"/>
      <c r="F271" s="396"/>
      <c r="G271" s="396"/>
    </row>
    <row r="272" spans="1:7" s="500" customFormat="1">
      <c r="A272" s="499"/>
      <c r="B272" s="396"/>
      <c r="C272" s="396"/>
      <c r="D272" s="396"/>
      <c r="E272" s="396"/>
      <c r="F272" s="396"/>
      <c r="G272" s="396"/>
    </row>
    <row r="273" spans="1:7" s="500" customFormat="1">
      <c r="A273" s="499"/>
      <c r="B273" s="396"/>
      <c r="C273" s="396"/>
      <c r="D273" s="396"/>
      <c r="E273" s="396"/>
      <c r="F273" s="396"/>
      <c r="G273" s="396"/>
    </row>
    <row r="274" spans="1:7" s="500" customFormat="1">
      <c r="A274" s="499"/>
      <c r="B274" s="396"/>
      <c r="C274" s="396"/>
      <c r="D274" s="396"/>
      <c r="E274" s="396"/>
      <c r="F274" s="396"/>
      <c r="G274" s="396"/>
    </row>
    <row r="275" spans="1:7" s="500" customFormat="1">
      <c r="A275" s="499"/>
      <c r="B275" s="396"/>
      <c r="C275" s="396"/>
      <c r="D275" s="396"/>
      <c r="E275" s="396"/>
      <c r="F275" s="396"/>
      <c r="G275" s="396"/>
    </row>
    <row r="276" spans="1:7" s="500" customFormat="1">
      <c r="A276" s="499"/>
      <c r="B276" s="396"/>
      <c r="C276" s="396"/>
      <c r="D276" s="396"/>
      <c r="E276" s="396"/>
      <c r="F276" s="396"/>
      <c r="G276" s="396"/>
    </row>
    <row r="277" spans="1:7" s="500" customFormat="1">
      <c r="A277" s="499"/>
      <c r="B277" s="396"/>
      <c r="C277" s="396"/>
      <c r="D277" s="396"/>
      <c r="E277" s="396"/>
      <c r="F277" s="396"/>
      <c r="G277" s="396"/>
    </row>
    <row r="278" spans="1:7" s="500" customFormat="1">
      <c r="A278" s="499"/>
      <c r="B278" s="396"/>
      <c r="C278" s="396"/>
      <c r="D278" s="396"/>
      <c r="E278" s="396"/>
      <c r="F278" s="396"/>
      <c r="G278" s="396"/>
    </row>
    <row r="279" spans="1:7" s="500" customFormat="1">
      <c r="A279" s="499"/>
      <c r="B279" s="396"/>
      <c r="C279" s="396"/>
      <c r="D279" s="396"/>
      <c r="E279" s="396"/>
      <c r="F279" s="396"/>
      <c r="G279" s="396"/>
    </row>
    <row r="280" spans="1:7" s="500" customFormat="1">
      <c r="A280" s="499"/>
      <c r="B280" s="396"/>
      <c r="C280" s="396"/>
      <c r="D280" s="396"/>
      <c r="E280" s="396"/>
      <c r="F280" s="396"/>
      <c r="G280" s="396"/>
    </row>
    <row r="281" spans="1:7" s="500" customFormat="1">
      <c r="A281" s="499"/>
      <c r="B281" s="396"/>
      <c r="C281" s="396"/>
      <c r="D281" s="396"/>
      <c r="E281" s="396"/>
      <c r="F281" s="396"/>
      <c r="G281" s="396"/>
    </row>
    <row r="282" spans="1:7" s="500" customFormat="1">
      <c r="A282" s="499"/>
      <c r="B282" s="396"/>
      <c r="C282" s="396"/>
      <c r="D282" s="396"/>
      <c r="E282" s="396"/>
      <c r="F282" s="396"/>
      <c r="G282" s="396"/>
    </row>
    <row r="283" spans="1:7" s="500" customFormat="1">
      <c r="A283" s="499"/>
      <c r="B283" s="396"/>
      <c r="C283" s="396"/>
      <c r="D283" s="396"/>
      <c r="E283" s="396"/>
      <c r="F283" s="396"/>
      <c r="G283" s="396"/>
    </row>
    <row r="284" spans="1:7" s="500" customFormat="1">
      <c r="A284" s="499"/>
      <c r="B284" s="396"/>
      <c r="C284" s="396"/>
      <c r="D284" s="396"/>
      <c r="E284" s="396"/>
      <c r="F284" s="396"/>
      <c r="G284" s="396"/>
    </row>
    <row r="285" spans="1:7" s="500" customFormat="1">
      <c r="A285" s="499"/>
      <c r="B285" s="396"/>
      <c r="C285" s="396"/>
      <c r="D285" s="396"/>
      <c r="E285" s="396"/>
      <c r="F285" s="396"/>
      <c r="G285" s="396"/>
    </row>
    <row r="286" spans="1:7" s="500" customFormat="1">
      <c r="A286" s="499"/>
      <c r="B286" s="396"/>
      <c r="C286" s="396"/>
      <c r="D286" s="396"/>
      <c r="E286" s="396"/>
      <c r="F286" s="396"/>
      <c r="G286" s="396"/>
    </row>
    <row r="287" spans="1:7" s="500" customFormat="1">
      <c r="A287" s="499"/>
      <c r="B287" s="396"/>
      <c r="C287" s="396"/>
      <c r="D287" s="396"/>
      <c r="E287" s="396"/>
      <c r="F287" s="396"/>
      <c r="G287" s="396"/>
    </row>
    <row r="288" spans="1:7" s="500" customFormat="1">
      <c r="A288" s="499"/>
      <c r="B288" s="396"/>
      <c r="C288" s="396"/>
      <c r="D288" s="396"/>
      <c r="E288" s="396"/>
      <c r="F288" s="396"/>
      <c r="G288" s="396"/>
    </row>
    <row r="289" spans="1:7" s="500" customFormat="1">
      <c r="A289" s="499"/>
      <c r="B289" s="396"/>
      <c r="C289" s="396"/>
      <c r="D289" s="396"/>
      <c r="E289" s="396"/>
      <c r="F289" s="396"/>
      <c r="G289" s="396"/>
    </row>
    <row r="290" spans="1:7" s="500" customFormat="1">
      <c r="A290" s="499"/>
      <c r="B290" s="396"/>
      <c r="C290" s="396"/>
      <c r="D290" s="396"/>
      <c r="E290" s="396"/>
      <c r="F290" s="396"/>
      <c r="G290" s="396"/>
    </row>
    <row r="291" spans="1:7" s="500" customFormat="1">
      <c r="A291" s="499"/>
      <c r="B291" s="396"/>
      <c r="C291" s="396"/>
      <c r="D291" s="396"/>
      <c r="E291" s="396"/>
      <c r="F291" s="396"/>
      <c r="G291" s="396"/>
    </row>
    <row r="292" spans="1:7" s="500" customFormat="1">
      <c r="A292" s="499"/>
      <c r="B292" s="396"/>
      <c r="C292" s="396"/>
      <c r="D292" s="396"/>
      <c r="E292" s="396"/>
      <c r="F292" s="396"/>
      <c r="G292" s="396"/>
    </row>
    <row r="293" spans="1:7" s="500" customFormat="1">
      <c r="A293" s="499"/>
      <c r="B293" s="396"/>
      <c r="C293" s="396"/>
      <c r="D293" s="396"/>
      <c r="E293" s="396"/>
      <c r="F293" s="396"/>
      <c r="G293" s="396"/>
    </row>
    <row r="294" spans="1:7" s="500" customFormat="1">
      <c r="A294" s="499"/>
      <c r="B294" s="396"/>
      <c r="C294" s="396"/>
      <c r="D294" s="396"/>
      <c r="E294" s="396"/>
      <c r="F294" s="396"/>
      <c r="G294" s="396"/>
    </row>
    <row r="295" spans="1:7" s="500" customFormat="1">
      <c r="A295" s="499"/>
      <c r="B295" s="396"/>
      <c r="C295" s="396"/>
      <c r="D295" s="396"/>
      <c r="E295" s="396"/>
      <c r="F295" s="396"/>
      <c r="G295" s="396"/>
    </row>
    <row r="296" spans="1:7" s="500" customFormat="1">
      <c r="A296" s="499"/>
      <c r="B296" s="396"/>
      <c r="C296" s="396"/>
      <c r="D296" s="396"/>
      <c r="E296" s="396"/>
      <c r="F296" s="396"/>
      <c r="G296" s="396"/>
    </row>
    <row r="297" spans="1:7" s="500" customFormat="1">
      <c r="A297" s="499"/>
      <c r="B297" s="396"/>
      <c r="C297" s="396"/>
      <c r="D297" s="396"/>
      <c r="E297" s="396"/>
      <c r="F297" s="396"/>
      <c r="G297" s="396"/>
    </row>
    <row r="298" spans="1:7" s="500" customFormat="1">
      <c r="A298" s="499"/>
      <c r="B298" s="396"/>
      <c r="C298" s="396"/>
      <c r="D298" s="396"/>
      <c r="E298" s="396"/>
      <c r="F298" s="396"/>
      <c r="G298" s="396"/>
    </row>
    <row r="299" spans="1:7" s="500" customFormat="1">
      <c r="A299" s="499"/>
      <c r="B299" s="396"/>
      <c r="C299" s="396"/>
      <c r="D299" s="396"/>
      <c r="E299" s="396"/>
      <c r="F299" s="396"/>
      <c r="G299" s="396"/>
    </row>
    <row r="300" spans="1:7" s="500" customFormat="1">
      <c r="A300" s="499"/>
      <c r="B300" s="396"/>
      <c r="C300" s="396"/>
      <c r="D300" s="396"/>
      <c r="E300" s="396"/>
      <c r="F300" s="396"/>
      <c r="G300" s="396"/>
    </row>
    <row r="301" spans="1:7" s="500" customFormat="1">
      <c r="A301" s="499"/>
      <c r="B301" s="396"/>
      <c r="C301" s="396"/>
      <c r="D301" s="396"/>
      <c r="E301" s="396"/>
      <c r="F301" s="396"/>
      <c r="G301" s="396"/>
    </row>
    <row r="302" spans="1:7" s="500" customFormat="1">
      <c r="A302" s="499"/>
      <c r="B302" s="396"/>
      <c r="C302" s="396"/>
      <c r="D302" s="396"/>
      <c r="E302" s="396"/>
      <c r="F302" s="396"/>
      <c r="G302" s="396"/>
    </row>
    <row r="303" spans="1:7" s="500" customFormat="1">
      <c r="A303" s="499"/>
      <c r="B303" s="396"/>
      <c r="C303" s="396"/>
      <c r="D303" s="396"/>
      <c r="E303" s="396"/>
      <c r="F303" s="396"/>
      <c r="G303" s="396"/>
    </row>
    <row r="304" spans="1:7" s="500" customFormat="1">
      <c r="A304" s="499"/>
      <c r="B304" s="396"/>
      <c r="C304" s="396"/>
      <c r="D304" s="396"/>
      <c r="E304" s="396"/>
      <c r="F304" s="396"/>
      <c r="G304" s="396"/>
    </row>
    <row r="305" spans="1:7" s="500" customFormat="1">
      <c r="A305" s="499"/>
      <c r="B305" s="396"/>
      <c r="C305" s="396"/>
      <c r="D305" s="396"/>
      <c r="E305" s="396"/>
      <c r="F305" s="396"/>
      <c r="G305" s="396"/>
    </row>
    <row r="306" spans="1:7" s="500" customFormat="1">
      <c r="A306" s="499"/>
      <c r="B306" s="396"/>
      <c r="C306" s="396"/>
      <c r="D306" s="396"/>
      <c r="E306" s="396"/>
      <c r="F306" s="396"/>
      <c r="G306" s="396"/>
    </row>
    <row r="307" spans="1:7" s="500" customFormat="1">
      <c r="A307" s="499"/>
      <c r="B307" s="396"/>
      <c r="C307" s="396"/>
      <c r="D307" s="396"/>
      <c r="E307" s="396"/>
      <c r="F307" s="396"/>
      <c r="G307" s="396"/>
    </row>
    <row r="308" spans="1:7" s="500" customFormat="1">
      <c r="A308" s="499"/>
      <c r="B308" s="396"/>
      <c r="C308" s="396"/>
      <c r="D308" s="396"/>
      <c r="E308" s="396"/>
      <c r="F308" s="396"/>
      <c r="G308" s="396"/>
    </row>
    <row r="309" spans="1:7" s="500" customFormat="1">
      <c r="A309" s="499"/>
      <c r="B309" s="396"/>
      <c r="C309" s="396"/>
      <c r="D309" s="396"/>
      <c r="E309" s="396"/>
      <c r="F309" s="396"/>
      <c r="G309" s="396"/>
    </row>
    <row r="310" spans="1:7" s="500" customFormat="1">
      <c r="A310" s="499"/>
      <c r="B310" s="396"/>
      <c r="C310" s="396"/>
      <c r="D310" s="396"/>
      <c r="E310" s="396"/>
      <c r="F310" s="396"/>
      <c r="G310" s="396"/>
    </row>
    <row r="311" spans="1:7" s="500" customFormat="1">
      <c r="A311" s="499"/>
      <c r="B311" s="396"/>
      <c r="C311" s="396"/>
      <c r="D311" s="396"/>
      <c r="E311" s="396"/>
      <c r="F311" s="396"/>
      <c r="G311" s="396"/>
    </row>
    <row r="312" spans="1:7" s="500" customFormat="1">
      <c r="A312" s="499"/>
      <c r="B312" s="396"/>
      <c r="C312" s="396"/>
      <c r="D312" s="396"/>
      <c r="E312" s="396"/>
      <c r="F312" s="396"/>
      <c r="G312" s="396"/>
    </row>
    <row r="313" spans="1:7">
      <c r="A313" s="499"/>
      <c r="B313" s="396"/>
      <c r="C313" s="396"/>
      <c r="D313" s="396"/>
      <c r="E313" s="396"/>
      <c r="F313" s="396"/>
    </row>
    <row r="314" spans="1:7">
      <c r="A314" s="499"/>
      <c r="B314" s="396"/>
      <c r="C314" s="396"/>
      <c r="D314" s="396"/>
      <c r="E314" s="396"/>
      <c r="F314" s="396"/>
    </row>
    <row r="315" spans="1:7">
      <c r="A315" s="499"/>
      <c r="B315" s="396"/>
      <c r="C315" s="396"/>
      <c r="D315" s="396"/>
      <c r="E315" s="396"/>
      <c r="F315" s="396"/>
    </row>
    <row r="316" spans="1:7">
      <c r="E316" s="396"/>
      <c r="F316" s="396"/>
    </row>
    <row r="317" spans="1:7">
      <c r="E317" s="396"/>
      <c r="F317" s="396"/>
    </row>
  </sheetData>
  <sheetProtection password="EA98" sheet="1" formatColumns="0" selectLockedCells="1"/>
  <mergeCells count="67">
    <mergeCell ref="D15:G15"/>
    <mergeCell ref="B19:C19"/>
    <mergeCell ref="F23:G23"/>
    <mergeCell ref="D19:E19"/>
    <mergeCell ref="B30:G30"/>
    <mergeCell ref="B24:C24"/>
    <mergeCell ref="D24:E24"/>
    <mergeCell ref="F19:G19"/>
    <mergeCell ref="B22:C22"/>
    <mergeCell ref="D22:E22"/>
    <mergeCell ref="B62:F62"/>
    <mergeCell ref="B85:F85"/>
    <mergeCell ref="B16:G16"/>
    <mergeCell ref="B91:F91"/>
    <mergeCell ref="B56:F56"/>
    <mergeCell ref="B33:C33"/>
    <mergeCell ref="F22:G22"/>
    <mergeCell ref="B88:F88"/>
    <mergeCell ref="B36:G36"/>
    <mergeCell ref="D23:E23"/>
    <mergeCell ref="B109:F109"/>
    <mergeCell ref="B163:G163"/>
    <mergeCell ref="B136:F136"/>
    <mergeCell ref="B139:F139"/>
    <mergeCell ref="B124:F124"/>
    <mergeCell ref="B130:F130"/>
    <mergeCell ref="B112:F112"/>
    <mergeCell ref="B157:G157"/>
    <mergeCell ref="B148:F148"/>
    <mergeCell ref="B151:F151"/>
    <mergeCell ref="B6:G6"/>
    <mergeCell ref="E11:G11"/>
    <mergeCell ref="B23:C23"/>
    <mergeCell ref="E12:G12"/>
    <mergeCell ref="B168:G168"/>
    <mergeCell ref="B41:G41"/>
    <mergeCell ref="B82:F82"/>
    <mergeCell ref="B53:F53"/>
    <mergeCell ref="B165:G165"/>
    <mergeCell ref="B133:F133"/>
    <mergeCell ref="B103:F103"/>
    <mergeCell ref="B127:F127"/>
    <mergeCell ref="B142:F142"/>
    <mergeCell ref="C2:F2"/>
    <mergeCell ref="E8:G8"/>
    <mergeCell ref="E9:G9"/>
    <mergeCell ref="E10:G10"/>
    <mergeCell ref="C3:F3"/>
    <mergeCell ref="B100:F100"/>
    <mergeCell ref="B97:F97"/>
    <mergeCell ref="F24:G24"/>
    <mergeCell ref="B115:F115"/>
    <mergeCell ref="B158:G162"/>
    <mergeCell ref="B106:F106"/>
    <mergeCell ref="B94:F94"/>
    <mergeCell ref="B121:F121"/>
    <mergeCell ref="B145:F145"/>
    <mergeCell ref="B118:F118"/>
    <mergeCell ref="D26:E26"/>
    <mergeCell ref="F25:G25"/>
    <mergeCell ref="B59:F59"/>
    <mergeCell ref="F26:G26"/>
    <mergeCell ref="D25:E25"/>
    <mergeCell ref="B26:C26"/>
    <mergeCell ref="B39:C39"/>
    <mergeCell ref="B25:C25"/>
    <mergeCell ref="B34:C34"/>
  </mergeCells>
  <phoneticPr fontId="0" type="noConversion"/>
  <dataValidations count="1">
    <dataValidation type="whole" allowBlank="1" showInputMessage="1" showErrorMessage="1" errorTitle="ATTENZIONE" error="INSERIRE SOLO VALORI NUMERICI INTERI" sqref="G53 G50:G51 G115 G112 G109 G106 G103 G56 G127 G85 G82 G88 G62 G59 G100 G94 G118 G47 G91 G145 G130 G133 G136 G139 G142 G121 G124 G97 G151 G148">
      <formula1>0</formula1>
      <formula2>999999999999</formula2>
    </dataValidation>
  </dataValidations>
  <printOptions horizontalCentered="1"/>
  <pageMargins left="0.4" right="0.39" top="0.38" bottom="0.23" header="0.15748031496062992" footer="0.15748031496062992"/>
  <pageSetup paperSize="9" scale="66" fitToHeight="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A1:X55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ColWidth="10.7109375" defaultRowHeight="10.199999999999999"/>
  <cols>
    <col min="1" max="1" width="43.42578125" style="91" customWidth="1"/>
    <col min="2" max="2" width="10.7109375" style="100" customWidth="1"/>
    <col min="3" max="16" width="11.42578125" style="91" customWidth="1"/>
    <col min="17" max="18" width="11.42578125" customWidth="1"/>
    <col min="19" max="19" width="9.140625" style="91" hidden="1" customWidth="1"/>
    <col min="20" max="20" width="9.140625" style="91" customWidth="1"/>
    <col min="21" max="21" width="6.7109375" style="91" customWidth="1"/>
    <col min="22" max="25" width="10.85546875" style="91" customWidth="1"/>
    <col min="26" max="16384" width="10.7109375" style="91"/>
  </cols>
  <sheetData>
    <row r="1" spans="1:20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1442"/>
      <c r="L1" s="1442"/>
      <c r="M1" s="1442"/>
      <c r="N1" s="1442"/>
      <c r="O1" s="3"/>
      <c r="P1" s="311"/>
      <c r="Q1"/>
      <c r="R1"/>
      <c r="S1"/>
    </row>
    <row r="2" spans="1:20" s="5" customFormat="1" ht="30" customHeight="1" thickBot="1">
      <c r="A2" s="310"/>
      <c r="B2" s="2"/>
      <c r="C2" s="3"/>
      <c r="D2" s="3"/>
      <c r="E2" s="3"/>
      <c r="F2" s="1443"/>
      <c r="G2" s="1443"/>
      <c r="H2" s="1443"/>
      <c r="I2" s="1443"/>
      <c r="J2" s="1443"/>
      <c r="K2" s="1443"/>
      <c r="L2" s="1443"/>
      <c r="M2" s="1443"/>
      <c r="N2" s="1443"/>
      <c r="O2" s="1443"/>
      <c r="P2" s="1443"/>
      <c r="Q2"/>
      <c r="R2"/>
      <c r="S2"/>
    </row>
    <row r="3" spans="1:20" ht="18.75" customHeight="1" thickBot="1">
      <c r="A3" s="92"/>
      <c r="B3" s="93"/>
      <c r="C3" s="142" t="s">
        <v>174</v>
      </c>
      <c r="D3" s="143"/>
      <c r="E3" s="143"/>
      <c r="F3" s="144"/>
      <c r="G3" s="143"/>
      <c r="H3" s="143"/>
      <c r="I3" s="143"/>
      <c r="J3" s="143"/>
      <c r="K3" s="143"/>
      <c r="L3" s="143"/>
      <c r="M3" s="1447" t="s">
        <v>175</v>
      </c>
      <c r="N3" s="1448"/>
      <c r="O3" s="1448"/>
      <c r="P3" s="1448"/>
      <c r="Q3" s="1448"/>
      <c r="R3" s="1449"/>
      <c r="S3"/>
      <c r="T3"/>
    </row>
    <row r="4" spans="1:20" ht="21.75" customHeight="1" thickTop="1">
      <c r="A4" s="279" t="s">
        <v>172</v>
      </c>
      <c r="B4" s="280" t="s">
        <v>103</v>
      </c>
      <c r="C4" s="1437" t="s">
        <v>221</v>
      </c>
      <c r="D4" s="1438"/>
      <c r="E4" s="1444" t="s">
        <v>133</v>
      </c>
      <c r="F4" s="1445"/>
      <c r="G4" s="1446" t="s">
        <v>83</v>
      </c>
      <c r="H4" s="1446"/>
      <c r="I4" s="1446" t="s">
        <v>1043</v>
      </c>
      <c r="J4" s="1446"/>
      <c r="K4" s="1450" t="s">
        <v>1044</v>
      </c>
      <c r="L4" s="1451"/>
      <c r="M4" s="1437" t="s">
        <v>221</v>
      </c>
      <c r="N4" s="1438"/>
      <c r="O4" s="1439" t="s">
        <v>133</v>
      </c>
      <c r="P4" s="1440"/>
      <c r="Q4" s="1439" t="s">
        <v>83</v>
      </c>
      <c r="R4" s="1441"/>
      <c r="S4"/>
      <c r="T4"/>
    </row>
    <row r="5" spans="1:20" ht="10.8" thickBot="1">
      <c r="A5" s="877" t="s">
        <v>825</v>
      </c>
      <c r="B5" s="281"/>
      <c r="C5" s="145" t="s">
        <v>105</v>
      </c>
      <c r="D5" s="146" t="s">
        <v>106</v>
      </c>
      <c r="E5" s="147" t="s">
        <v>105</v>
      </c>
      <c r="F5" s="146" t="s">
        <v>106</v>
      </c>
      <c r="G5" s="147" t="s">
        <v>105</v>
      </c>
      <c r="H5" s="146" t="s">
        <v>106</v>
      </c>
      <c r="I5" s="147" t="s">
        <v>105</v>
      </c>
      <c r="J5" s="146" t="s">
        <v>106</v>
      </c>
      <c r="K5" s="147" t="s">
        <v>105</v>
      </c>
      <c r="L5" s="146" t="s">
        <v>106</v>
      </c>
      <c r="M5" s="148" t="s">
        <v>105</v>
      </c>
      <c r="N5" s="149" t="s">
        <v>106</v>
      </c>
      <c r="O5" s="150" t="s">
        <v>105</v>
      </c>
      <c r="P5" s="149" t="s">
        <v>106</v>
      </c>
      <c r="Q5" s="150" t="s">
        <v>105</v>
      </c>
      <c r="R5" s="149" t="s">
        <v>106</v>
      </c>
      <c r="S5"/>
      <c r="T5"/>
    </row>
    <row r="6" spans="1:20" ht="12.75" customHeight="1" thickTop="1">
      <c r="A6" s="24" t="str">
        <f>'t1'!A6</f>
        <v>SEGRETARIO A</v>
      </c>
      <c r="B6" s="282" t="str">
        <f>'t1'!B6</f>
        <v>0D0102</v>
      </c>
      <c r="C6" s="225"/>
      <c r="D6" s="226"/>
      <c r="E6" s="227"/>
      <c r="F6" s="523"/>
      <c r="G6" s="233"/>
      <c r="H6" s="226"/>
      <c r="I6" s="233"/>
      <c r="J6" s="226"/>
      <c r="K6" s="233"/>
      <c r="L6" s="226"/>
      <c r="M6" s="228"/>
      <c r="N6" s="229"/>
      <c r="O6" s="230"/>
      <c r="P6" s="636"/>
      <c r="Q6" s="637"/>
      <c r="R6" s="609"/>
      <c r="S6" s="868">
        <f>'t1'!N6</f>
        <v>0</v>
      </c>
      <c r="T6"/>
    </row>
    <row r="7" spans="1:20" ht="12.75" customHeight="1">
      <c r="A7" s="24" t="str">
        <f>'t1'!A7</f>
        <v>SEGRETARIO B</v>
      </c>
      <c r="B7" s="282" t="str">
        <f>'t1'!B7</f>
        <v>0D0103</v>
      </c>
      <c r="C7" s="225"/>
      <c r="D7" s="226"/>
      <c r="E7" s="227"/>
      <c r="F7" s="523"/>
      <c r="G7" s="233"/>
      <c r="H7" s="226"/>
      <c r="I7" s="233"/>
      <c r="J7" s="226"/>
      <c r="K7" s="233"/>
      <c r="L7" s="226"/>
      <c r="M7" s="228"/>
      <c r="N7" s="229"/>
      <c r="O7" s="230"/>
      <c r="P7" s="638"/>
      <c r="Q7" s="639"/>
      <c r="R7" s="610"/>
      <c r="S7" s="868">
        <f>'t1'!N7</f>
        <v>0</v>
      </c>
      <c r="T7"/>
    </row>
    <row r="8" spans="1:20" ht="12.75" customHeight="1">
      <c r="A8" s="24" t="str">
        <f>'t1'!A8</f>
        <v>SEGRETARIO C</v>
      </c>
      <c r="B8" s="282" t="str">
        <f>'t1'!B8</f>
        <v>0D0485</v>
      </c>
      <c r="C8" s="225"/>
      <c r="D8" s="226"/>
      <c r="E8" s="227"/>
      <c r="F8" s="523"/>
      <c r="G8" s="233"/>
      <c r="H8" s="226"/>
      <c r="I8" s="233"/>
      <c r="J8" s="226"/>
      <c r="K8" s="233"/>
      <c r="L8" s="226"/>
      <c r="M8" s="228"/>
      <c r="N8" s="229"/>
      <c r="O8" s="230"/>
      <c r="P8" s="638"/>
      <c r="Q8" s="639"/>
      <c r="R8" s="610"/>
      <c r="S8" s="868">
        <f>'t1'!N8</f>
        <v>0</v>
      </c>
      <c r="T8"/>
    </row>
    <row r="9" spans="1:20" ht="12.75" customHeight="1">
      <c r="A9" s="24" t="str">
        <f>'t1'!A9</f>
        <v>SEGRETARIO GENERALE CCIAA</v>
      </c>
      <c r="B9" s="282" t="str">
        <f>'t1'!B9</f>
        <v>0D0104</v>
      </c>
      <c r="C9" s="225"/>
      <c r="D9" s="226"/>
      <c r="E9" s="227"/>
      <c r="F9" s="523"/>
      <c r="G9" s="233"/>
      <c r="H9" s="226"/>
      <c r="I9" s="233"/>
      <c r="J9" s="226"/>
      <c r="K9" s="233"/>
      <c r="L9" s="226"/>
      <c r="M9" s="228"/>
      <c r="N9" s="229"/>
      <c r="O9" s="230"/>
      <c r="P9" s="638"/>
      <c r="Q9" s="639"/>
      <c r="R9" s="610"/>
      <c r="S9" s="868">
        <f>'t1'!N9</f>
        <v>0</v>
      </c>
      <c r="T9"/>
    </row>
    <row r="10" spans="1:20" ht="12.75" customHeight="1">
      <c r="A10" s="24" t="str">
        <f>'t1'!A10</f>
        <v>DIRETTORE  GENERALE</v>
      </c>
      <c r="B10" s="282" t="str">
        <f>'t1'!B10</f>
        <v>0D0097</v>
      </c>
      <c r="C10" s="225"/>
      <c r="D10" s="226"/>
      <c r="E10" s="227"/>
      <c r="F10" s="523"/>
      <c r="G10" s="233"/>
      <c r="H10" s="226"/>
      <c r="I10" s="233"/>
      <c r="J10" s="226"/>
      <c r="K10" s="233"/>
      <c r="L10" s="226"/>
      <c r="M10" s="228"/>
      <c r="N10" s="229"/>
      <c r="O10" s="230"/>
      <c r="P10" s="638"/>
      <c r="Q10" s="639"/>
      <c r="R10" s="610"/>
      <c r="S10" s="868">
        <f>'t1'!N10</f>
        <v>0</v>
      </c>
      <c r="T10"/>
    </row>
    <row r="11" spans="1:20" ht="12.75" customHeight="1">
      <c r="A11" s="24" t="str">
        <f>'t1'!A11</f>
        <v>DIRIGENTE FUORI D.O. art.110 c.2 TUEL</v>
      </c>
      <c r="B11" s="282" t="str">
        <f>'t1'!B11</f>
        <v>0D0098</v>
      </c>
      <c r="C11" s="225"/>
      <c r="D11" s="226"/>
      <c r="E11" s="227"/>
      <c r="F11" s="523"/>
      <c r="G11" s="233"/>
      <c r="H11" s="226"/>
      <c r="I11" s="233"/>
      <c r="J11" s="226"/>
      <c r="K11" s="233"/>
      <c r="L11" s="226"/>
      <c r="M11" s="228"/>
      <c r="N11" s="229"/>
      <c r="O11" s="230"/>
      <c r="P11" s="638"/>
      <c r="Q11" s="639"/>
      <c r="R11" s="610"/>
      <c r="S11" s="868">
        <f>'t1'!N11</f>
        <v>0</v>
      </c>
      <c r="T11"/>
    </row>
    <row r="12" spans="1:20" ht="12.75" customHeight="1">
      <c r="A12" s="24" t="str">
        <f>'t1'!A12</f>
        <v>ALTE SPECIALIZZ. FUORI D.O.art.110 c.2 TUEL</v>
      </c>
      <c r="B12" s="282" t="str">
        <f>'t1'!B12</f>
        <v>0D0095</v>
      </c>
      <c r="C12" s="225"/>
      <c r="D12" s="226"/>
      <c r="E12" s="227"/>
      <c r="F12" s="523"/>
      <c r="G12" s="233"/>
      <c r="H12" s="226"/>
      <c r="I12" s="233"/>
      <c r="J12" s="226"/>
      <c r="K12" s="233"/>
      <c r="L12" s="226"/>
      <c r="M12" s="228"/>
      <c r="N12" s="229"/>
      <c r="O12" s="230"/>
      <c r="P12" s="638"/>
      <c r="Q12" s="639"/>
      <c r="R12" s="610"/>
      <c r="S12" s="868">
        <f>'t1'!N12</f>
        <v>0</v>
      </c>
      <c r="T12"/>
    </row>
    <row r="13" spans="1:20" ht="12.75" customHeight="1">
      <c r="A13" s="24" t="str">
        <f>'t1'!A13</f>
        <v>DIRIGENTE A TEMPO INDETERMINATO</v>
      </c>
      <c r="B13" s="282" t="str">
        <f>'t1'!B13</f>
        <v>0D0164</v>
      </c>
      <c r="C13" s="225"/>
      <c r="D13" s="226"/>
      <c r="E13" s="227"/>
      <c r="F13" s="523"/>
      <c r="G13" s="233"/>
      <c r="H13" s="226"/>
      <c r="I13" s="233"/>
      <c r="J13" s="226"/>
      <c r="K13" s="233"/>
      <c r="L13" s="226"/>
      <c r="M13" s="228"/>
      <c r="N13" s="229"/>
      <c r="O13" s="230"/>
      <c r="P13" s="638"/>
      <c r="Q13" s="639"/>
      <c r="R13" s="610"/>
      <c r="S13" s="868">
        <f>'t1'!N13</f>
        <v>0</v>
      </c>
      <c r="T13"/>
    </row>
    <row r="14" spans="1:20" ht="12.75" customHeight="1">
      <c r="A14" s="24" t="str">
        <f>'t1'!A14</f>
        <v>DIRIGENTE A TEMPO DET.TO  ART.110 C.1 TUEL</v>
      </c>
      <c r="B14" s="282" t="str">
        <f>'t1'!B14</f>
        <v>0D0165</v>
      </c>
      <c r="C14" s="225"/>
      <c r="D14" s="226"/>
      <c r="E14" s="227"/>
      <c r="F14" s="523"/>
      <c r="G14" s="233"/>
      <c r="H14" s="226"/>
      <c r="I14" s="233"/>
      <c r="J14" s="226"/>
      <c r="K14" s="233"/>
      <c r="L14" s="226"/>
      <c r="M14" s="228"/>
      <c r="N14" s="229"/>
      <c r="O14" s="230"/>
      <c r="P14" s="638"/>
      <c r="Q14" s="639"/>
      <c r="R14" s="610"/>
      <c r="S14" s="868">
        <f>'t1'!N14</f>
        <v>0</v>
      </c>
      <c r="T14"/>
    </row>
    <row r="15" spans="1:20" ht="12.75" customHeight="1">
      <c r="A15" s="24" t="str">
        <f>'t1'!A15</f>
        <v>ALTE SPECIALIZZ. IN D.O. art.110 c.1 TUEL</v>
      </c>
      <c r="B15" s="282" t="str">
        <f>'t1'!B15</f>
        <v>0D0I95</v>
      </c>
      <c r="C15" s="225"/>
      <c r="D15" s="226"/>
      <c r="E15" s="227"/>
      <c r="F15" s="523"/>
      <c r="G15" s="233"/>
      <c r="H15" s="226"/>
      <c r="I15" s="233"/>
      <c r="J15" s="226"/>
      <c r="K15" s="233"/>
      <c r="L15" s="226"/>
      <c r="M15" s="228"/>
      <c r="N15" s="229"/>
      <c r="O15" s="230"/>
      <c r="P15" s="638"/>
      <c r="Q15" s="639"/>
      <c r="R15" s="610"/>
      <c r="S15" s="868">
        <f>'t1'!N15</f>
        <v>0</v>
      </c>
      <c r="T15"/>
    </row>
    <row r="16" spans="1:20" ht="12.75" customHeight="1">
      <c r="A16" s="24" t="str">
        <f>'t1'!A16</f>
        <v>POSIZ. ECON. D6 - PROFILI ACCESSO D3</v>
      </c>
      <c r="B16" s="282" t="str">
        <f>'t1'!B16</f>
        <v>0D6A00</v>
      </c>
      <c r="C16" s="225"/>
      <c r="D16" s="226"/>
      <c r="E16" s="227"/>
      <c r="F16" s="523"/>
      <c r="G16" s="233"/>
      <c r="H16" s="226"/>
      <c r="I16" s="233"/>
      <c r="J16" s="226"/>
      <c r="K16" s="233"/>
      <c r="L16" s="226"/>
      <c r="M16" s="228"/>
      <c r="N16" s="229"/>
      <c r="O16" s="230"/>
      <c r="P16" s="638"/>
      <c r="Q16" s="639"/>
      <c r="R16" s="610"/>
      <c r="S16" s="868">
        <f>'t1'!N16</f>
        <v>0</v>
      </c>
      <c r="T16"/>
    </row>
    <row r="17" spans="1:20" ht="12.75" customHeight="1">
      <c r="A17" s="24" t="str">
        <f>'t1'!A17</f>
        <v>POSIZ. ECON. D6 - PROFILO ACCESSO D1</v>
      </c>
      <c r="B17" s="282" t="str">
        <f>'t1'!B17</f>
        <v>0D6000</v>
      </c>
      <c r="C17" s="225"/>
      <c r="D17" s="226"/>
      <c r="E17" s="227"/>
      <c r="F17" s="523"/>
      <c r="G17" s="233"/>
      <c r="H17" s="226"/>
      <c r="I17" s="233"/>
      <c r="J17" s="226"/>
      <c r="K17" s="233"/>
      <c r="L17" s="226"/>
      <c r="M17" s="228"/>
      <c r="N17" s="229"/>
      <c r="O17" s="230"/>
      <c r="P17" s="638"/>
      <c r="Q17" s="639"/>
      <c r="R17" s="610"/>
      <c r="S17" s="868">
        <f>'t1'!N17</f>
        <v>0</v>
      </c>
      <c r="T17"/>
    </row>
    <row r="18" spans="1:20" ht="12.75" customHeight="1">
      <c r="A18" s="24" t="str">
        <f>'t1'!A18</f>
        <v>POSIZ. ECON. D5 PROFILI ACCESSO D3</v>
      </c>
      <c r="B18" s="282" t="str">
        <f>'t1'!B18</f>
        <v>052486</v>
      </c>
      <c r="C18" s="225"/>
      <c r="D18" s="226"/>
      <c r="E18" s="227"/>
      <c r="F18" s="523"/>
      <c r="G18" s="233"/>
      <c r="H18" s="226"/>
      <c r="I18" s="233"/>
      <c r="J18" s="226"/>
      <c r="K18" s="233"/>
      <c r="L18" s="226"/>
      <c r="M18" s="228"/>
      <c r="N18" s="229"/>
      <c r="O18" s="230"/>
      <c r="P18" s="638"/>
      <c r="Q18" s="639"/>
      <c r="R18" s="610"/>
      <c r="S18" s="868">
        <f>'t1'!N18</f>
        <v>0</v>
      </c>
      <c r="T18"/>
    </row>
    <row r="19" spans="1:20" ht="12.75" customHeight="1">
      <c r="A19" s="24" t="str">
        <f>'t1'!A19</f>
        <v>POSIZ. ECON. D5 PROFILI ACCESSO D1</v>
      </c>
      <c r="B19" s="282" t="str">
        <f>'t1'!B19</f>
        <v>052487</v>
      </c>
      <c r="C19" s="225"/>
      <c r="D19" s="226"/>
      <c r="E19" s="227"/>
      <c r="F19" s="523"/>
      <c r="G19" s="233"/>
      <c r="H19" s="226"/>
      <c r="I19" s="233"/>
      <c r="J19" s="226"/>
      <c r="K19" s="233"/>
      <c r="L19" s="226"/>
      <c r="M19" s="228"/>
      <c r="N19" s="229"/>
      <c r="O19" s="230"/>
      <c r="P19" s="638"/>
      <c r="Q19" s="639"/>
      <c r="R19" s="610"/>
      <c r="S19" s="868">
        <f>'t1'!N19</f>
        <v>0</v>
      </c>
      <c r="T19"/>
    </row>
    <row r="20" spans="1:20" ht="12.75" customHeight="1">
      <c r="A20" s="24" t="str">
        <f>'t1'!A20</f>
        <v>POSIZ. ECON. D4 PROFILI ACCESSO D3</v>
      </c>
      <c r="B20" s="282" t="str">
        <f>'t1'!B20</f>
        <v>051488</v>
      </c>
      <c r="C20" s="225"/>
      <c r="D20" s="226"/>
      <c r="E20" s="227"/>
      <c r="F20" s="523"/>
      <c r="G20" s="233"/>
      <c r="H20" s="226"/>
      <c r="I20" s="233"/>
      <c r="J20" s="226"/>
      <c r="K20" s="233"/>
      <c r="L20" s="226"/>
      <c r="M20" s="228"/>
      <c r="N20" s="229"/>
      <c r="O20" s="230"/>
      <c r="P20" s="638"/>
      <c r="Q20" s="639"/>
      <c r="R20" s="610"/>
      <c r="S20" s="868">
        <f>'t1'!N20</f>
        <v>0</v>
      </c>
      <c r="T20"/>
    </row>
    <row r="21" spans="1:20" ht="12.75" customHeight="1">
      <c r="A21" s="24" t="str">
        <f>'t1'!A21</f>
        <v>POSIZ. ECON. D4 PROFILI ACCESSO D1</v>
      </c>
      <c r="B21" s="282" t="str">
        <f>'t1'!B21</f>
        <v>051489</v>
      </c>
      <c r="C21" s="225"/>
      <c r="D21" s="226"/>
      <c r="E21" s="227"/>
      <c r="F21" s="523"/>
      <c r="G21" s="233"/>
      <c r="H21" s="226"/>
      <c r="I21" s="233"/>
      <c r="J21" s="226"/>
      <c r="K21" s="233"/>
      <c r="L21" s="226"/>
      <c r="M21" s="228"/>
      <c r="N21" s="229"/>
      <c r="O21" s="230"/>
      <c r="P21" s="638"/>
      <c r="Q21" s="639"/>
      <c r="R21" s="610"/>
      <c r="S21" s="868">
        <f>'t1'!N21</f>
        <v>0</v>
      </c>
      <c r="T21"/>
    </row>
    <row r="22" spans="1:20" ht="12.75" customHeight="1">
      <c r="A22" s="24" t="str">
        <f>'t1'!A22</f>
        <v>POSIZIONE ECONOMICA DI ACCESSO D3</v>
      </c>
      <c r="B22" s="282" t="str">
        <f>'t1'!B22</f>
        <v>058000</v>
      </c>
      <c r="C22" s="225"/>
      <c r="D22" s="226"/>
      <c r="E22" s="227"/>
      <c r="F22" s="523"/>
      <c r="G22" s="233"/>
      <c r="H22" s="226"/>
      <c r="I22" s="233"/>
      <c r="J22" s="226"/>
      <c r="K22" s="233"/>
      <c r="L22" s="226"/>
      <c r="M22" s="228"/>
      <c r="N22" s="229"/>
      <c r="O22" s="230"/>
      <c r="P22" s="638"/>
      <c r="Q22" s="639"/>
      <c r="R22" s="610"/>
      <c r="S22" s="868">
        <f>'t1'!N22</f>
        <v>0</v>
      </c>
      <c r="T22"/>
    </row>
    <row r="23" spans="1:20" ht="12.75" customHeight="1">
      <c r="A23" s="24" t="str">
        <f>'t1'!A23</f>
        <v>POSIZIONE ECONOMICA D3</v>
      </c>
      <c r="B23" s="282" t="str">
        <f>'t1'!B23</f>
        <v>050000</v>
      </c>
      <c r="C23" s="225"/>
      <c r="D23" s="226"/>
      <c r="E23" s="227"/>
      <c r="F23" s="523"/>
      <c r="G23" s="233"/>
      <c r="H23" s="226"/>
      <c r="I23" s="233"/>
      <c r="J23" s="226"/>
      <c r="K23" s="233"/>
      <c r="L23" s="226"/>
      <c r="M23" s="228"/>
      <c r="N23" s="229"/>
      <c r="O23" s="230"/>
      <c r="P23" s="638"/>
      <c r="Q23" s="639"/>
      <c r="R23" s="610"/>
      <c r="S23" s="868">
        <f>'t1'!N23</f>
        <v>0</v>
      </c>
      <c r="T23"/>
    </row>
    <row r="24" spans="1:20" ht="12.75" customHeight="1">
      <c r="A24" s="24" t="str">
        <f>'t1'!A24</f>
        <v>POSIZIONE ECONOMICA D2</v>
      </c>
      <c r="B24" s="282" t="str">
        <f>'t1'!B24</f>
        <v>049000</v>
      </c>
      <c r="C24" s="225"/>
      <c r="D24" s="226"/>
      <c r="E24" s="227"/>
      <c r="F24" s="523"/>
      <c r="G24" s="233"/>
      <c r="H24" s="226"/>
      <c r="I24" s="233"/>
      <c r="J24" s="226"/>
      <c r="K24" s="233"/>
      <c r="L24" s="226"/>
      <c r="M24" s="228"/>
      <c r="N24" s="229"/>
      <c r="O24" s="230"/>
      <c r="P24" s="638"/>
      <c r="Q24" s="639"/>
      <c r="R24" s="610"/>
      <c r="S24" s="868">
        <f>'t1'!N24</f>
        <v>0</v>
      </c>
      <c r="T24"/>
    </row>
    <row r="25" spans="1:20" ht="12.75" customHeight="1">
      <c r="A25" s="24" t="str">
        <f>'t1'!A25</f>
        <v>POSIZIONE ECONOMICA DI ACCESSO D1</v>
      </c>
      <c r="B25" s="282" t="str">
        <f>'t1'!B25</f>
        <v>057000</v>
      </c>
      <c r="C25" s="225"/>
      <c r="D25" s="226"/>
      <c r="E25" s="227"/>
      <c r="F25" s="523"/>
      <c r="G25" s="233"/>
      <c r="H25" s="226"/>
      <c r="I25" s="233"/>
      <c r="J25" s="226"/>
      <c r="K25" s="233"/>
      <c r="L25" s="226"/>
      <c r="M25" s="228"/>
      <c r="N25" s="229"/>
      <c r="O25" s="230"/>
      <c r="P25" s="638"/>
      <c r="Q25" s="639"/>
      <c r="R25" s="610"/>
      <c r="S25" s="868">
        <f>'t1'!N25</f>
        <v>1</v>
      </c>
      <c r="T25"/>
    </row>
    <row r="26" spans="1:20" ht="12.75" customHeight="1">
      <c r="A26" s="24" t="str">
        <f>'t1'!A26</f>
        <v>POSIZIONE ECONOMICA C5</v>
      </c>
      <c r="B26" s="282" t="str">
        <f>'t1'!B26</f>
        <v>046000</v>
      </c>
      <c r="C26" s="225"/>
      <c r="D26" s="226"/>
      <c r="E26" s="227"/>
      <c r="F26" s="523"/>
      <c r="G26" s="233"/>
      <c r="H26" s="226"/>
      <c r="I26" s="233"/>
      <c r="J26" s="226"/>
      <c r="K26" s="233"/>
      <c r="L26" s="226"/>
      <c r="M26" s="228"/>
      <c r="N26" s="229"/>
      <c r="O26" s="230"/>
      <c r="P26" s="638"/>
      <c r="Q26" s="639"/>
      <c r="R26" s="610"/>
      <c r="S26" s="868">
        <f>'t1'!N26</f>
        <v>0</v>
      </c>
      <c r="T26"/>
    </row>
    <row r="27" spans="1:20" ht="12.75" customHeight="1">
      <c r="A27" s="24" t="str">
        <f>'t1'!A27</f>
        <v>POSIZIONE ECONOMICA C4</v>
      </c>
      <c r="B27" s="282" t="str">
        <f>'t1'!B27</f>
        <v>045000</v>
      </c>
      <c r="C27" s="225"/>
      <c r="D27" s="226"/>
      <c r="E27" s="227"/>
      <c r="F27" s="523"/>
      <c r="G27" s="233"/>
      <c r="H27" s="226"/>
      <c r="I27" s="233"/>
      <c r="J27" s="226"/>
      <c r="K27" s="233"/>
      <c r="L27" s="226"/>
      <c r="M27" s="228"/>
      <c r="N27" s="229"/>
      <c r="O27" s="230"/>
      <c r="P27" s="638"/>
      <c r="Q27" s="639"/>
      <c r="R27" s="610"/>
      <c r="S27" s="868">
        <f>'t1'!N27</f>
        <v>0</v>
      </c>
      <c r="T27"/>
    </row>
    <row r="28" spans="1:20" ht="12.75" customHeight="1">
      <c r="A28" s="24" t="str">
        <f>'t1'!A28</f>
        <v>POSIZIONE ECONOMICA C3</v>
      </c>
      <c r="B28" s="282" t="str">
        <f>'t1'!B28</f>
        <v>043000</v>
      </c>
      <c r="C28" s="225"/>
      <c r="D28" s="226"/>
      <c r="E28" s="227"/>
      <c r="F28" s="523"/>
      <c r="G28" s="233"/>
      <c r="H28" s="226"/>
      <c r="I28" s="233"/>
      <c r="J28" s="226"/>
      <c r="K28" s="233"/>
      <c r="L28" s="226"/>
      <c r="M28" s="228"/>
      <c r="N28" s="229"/>
      <c r="O28" s="230"/>
      <c r="P28" s="638"/>
      <c r="Q28" s="639"/>
      <c r="R28" s="610"/>
      <c r="S28" s="868">
        <f>'t1'!N28</f>
        <v>0</v>
      </c>
      <c r="T28"/>
    </row>
    <row r="29" spans="1:20" ht="12.75" customHeight="1">
      <c r="A29" s="24" t="str">
        <f>'t1'!A29</f>
        <v>POSIZIONE ECONOMICA C2</v>
      </c>
      <c r="B29" s="282" t="str">
        <f>'t1'!B29</f>
        <v>042000</v>
      </c>
      <c r="C29" s="225"/>
      <c r="D29" s="226"/>
      <c r="E29" s="227"/>
      <c r="F29" s="523"/>
      <c r="G29" s="233"/>
      <c r="H29" s="226"/>
      <c r="I29" s="233"/>
      <c r="J29" s="226"/>
      <c r="K29" s="233"/>
      <c r="L29" s="226"/>
      <c r="M29" s="228"/>
      <c r="N29" s="229"/>
      <c r="O29" s="230"/>
      <c r="P29" s="638"/>
      <c r="Q29" s="639"/>
      <c r="R29" s="610"/>
      <c r="S29" s="868">
        <f>'t1'!N29</f>
        <v>1</v>
      </c>
      <c r="T29"/>
    </row>
    <row r="30" spans="1:20" ht="12.75" customHeight="1">
      <c r="A30" s="24" t="str">
        <f>'t1'!A30</f>
        <v>POSIZIONE ECONOMICA DI ACCESSO C1</v>
      </c>
      <c r="B30" s="282" t="str">
        <f>'t1'!B30</f>
        <v>056000</v>
      </c>
      <c r="C30" s="225"/>
      <c r="D30" s="226">
        <v>1</v>
      </c>
      <c r="E30" s="227"/>
      <c r="F30" s="523"/>
      <c r="G30" s="233"/>
      <c r="H30" s="226"/>
      <c r="I30" s="233"/>
      <c r="J30" s="226"/>
      <c r="K30" s="233"/>
      <c r="L30" s="226"/>
      <c r="M30" s="228"/>
      <c r="N30" s="229"/>
      <c r="O30" s="230"/>
      <c r="P30" s="638"/>
      <c r="Q30" s="639"/>
      <c r="R30" s="610"/>
      <c r="S30" s="868">
        <f>'t1'!N30</f>
        <v>1</v>
      </c>
      <c r="T30"/>
    </row>
    <row r="31" spans="1:20" ht="12.75" customHeight="1">
      <c r="A31" s="24" t="str">
        <f>'t1'!A31</f>
        <v>POSIZ. ECON. B7 - PROFILO ACCESSO B3</v>
      </c>
      <c r="B31" s="282" t="str">
        <f>'t1'!B31</f>
        <v>0B7A00</v>
      </c>
      <c r="C31" s="225"/>
      <c r="D31" s="226"/>
      <c r="E31" s="227"/>
      <c r="F31" s="523"/>
      <c r="G31" s="233"/>
      <c r="H31" s="226"/>
      <c r="I31" s="233"/>
      <c r="J31" s="226"/>
      <c r="K31" s="233"/>
      <c r="L31" s="226"/>
      <c r="M31" s="228"/>
      <c r="N31" s="229"/>
      <c r="O31" s="230"/>
      <c r="P31" s="638"/>
      <c r="Q31" s="639"/>
      <c r="R31" s="610"/>
      <c r="S31" s="868">
        <f>'t1'!N31</f>
        <v>0</v>
      </c>
      <c r="T31"/>
    </row>
    <row r="32" spans="1:20" ht="12.75" customHeight="1">
      <c r="A32" s="24" t="str">
        <f>'t1'!A32</f>
        <v>POSIZ. ECON. B7 - PROFILO  ACCESSO B1</v>
      </c>
      <c r="B32" s="282" t="str">
        <f>'t1'!B32</f>
        <v>0B7000</v>
      </c>
      <c r="C32" s="225"/>
      <c r="D32" s="226"/>
      <c r="E32" s="227"/>
      <c r="F32" s="523"/>
      <c r="G32" s="233"/>
      <c r="H32" s="226"/>
      <c r="I32" s="233"/>
      <c r="J32" s="226"/>
      <c r="K32" s="233"/>
      <c r="L32" s="226"/>
      <c r="M32" s="228"/>
      <c r="N32" s="229"/>
      <c r="O32" s="230"/>
      <c r="P32" s="638"/>
      <c r="Q32" s="639"/>
      <c r="R32" s="610"/>
      <c r="S32" s="868">
        <f>'t1'!N32</f>
        <v>0</v>
      </c>
      <c r="T32"/>
    </row>
    <row r="33" spans="1:20" ht="12.75" customHeight="1">
      <c r="A33" s="24" t="str">
        <f>'t1'!A33</f>
        <v>POSIZ. ECON. B6 PROFILI ACCESSO B3</v>
      </c>
      <c r="B33" s="282" t="str">
        <f>'t1'!B33</f>
        <v>038490</v>
      </c>
      <c r="C33" s="225"/>
      <c r="D33" s="226"/>
      <c r="E33" s="227"/>
      <c r="F33" s="523"/>
      <c r="G33" s="233"/>
      <c r="H33" s="226"/>
      <c r="I33" s="233"/>
      <c r="J33" s="226"/>
      <c r="K33" s="233"/>
      <c r="L33" s="226"/>
      <c r="M33" s="228"/>
      <c r="N33" s="229"/>
      <c r="O33" s="230"/>
      <c r="P33" s="638"/>
      <c r="Q33" s="639"/>
      <c r="R33" s="610"/>
      <c r="S33" s="868">
        <f>'t1'!N33</f>
        <v>0</v>
      </c>
      <c r="T33"/>
    </row>
    <row r="34" spans="1:20" ht="12.75" customHeight="1">
      <c r="A34" s="24" t="str">
        <f>'t1'!A34</f>
        <v>POSIZ. ECON. B6 PROFILI ACCESSO B1</v>
      </c>
      <c r="B34" s="282" t="str">
        <f>'t1'!B34</f>
        <v>038491</v>
      </c>
      <c r="C34" s="225"/>
      <c r="D34" s="226"/>
      <c r="E34" s="227"/>
      <c r="F34" s="523"/>
      <c r="G34" s="233"/>
      <c r="H34" s="226"/>
      <c r="I34" s="233"/>
      <c r="J34" s="226"/>
      <c r="K34" s="233"/>
      <c r="L34" s="226"/>
      <c r="M34" s="228"/>
      <c r="N34" s="229"/>
      <c r="O34" s="230"/>
      <c r="P34" s="638"/>
      <c r="Q34" s="639"/>
      <c r="R34" s="610"/>
      <c r="S34" s="868">
        <f>'t1'!N34</f>
        <v>0</v>
      </c>
      <c r="T34"/>
    </row>
    <row r="35" spans="1:20" ht="12.75" customHeight="1">
      <c r="A35" s="24" t="str">
        <f>'t1'!A35</f>
        <v>POSIZ. ECON. B5 PROFILI ACCESSO B3</v>
      </c>
      <c r="B35" s="282" t="str">
        <f>'t1'!B35</f>
        <v>037492</v>
      </c>
      <c r="C35" s="225"/>
      <c r="D35" s="226"/>
      <c r="E35" s="227"/>
      <c r="F35" s="523"/>
      <c r="G35" s="233"/>
      <c r="H35" s="226"/>
      <c r="I35" s="233"/>
      <c r="J35" s="226"/>
      <c r="K35" s="233"/>
      <c r="L35" s="226"/>
      <c r="M35" s="228"/>
      <c r="N35" s="229"/>
      <c r="O35" s="230"/>
      <c r="P35" s="638"/>
      <c r="Q35" s="639"/>
      <c r="R35" s="610"/>
      <c r="S35" s="868">
        <f>'t1'!N35</f>
        <v>0</v>
      </c>
      <c r="T35"/>
    </row>
    <row r="36" spans="1:20" ht="12.75" customHeight="1">
      <c r="A36" s="24" t="str">
        <f>'t1'!A36</f>
        <v>POSIZ. ECON. B5 PROFILI ACCESSO B1</v>
      </c>
      <c r="B36" s="282" t="str">
        <f>'t1'!B36</f>
        <v>037493</v>
      </c>
      <c r="C36" s="225"/>
      <c r="D36" s="226"/>
      <c r="E36" s="227"/>
      <c r="F36" s="523"/>
      <c r="G36" s="233"/>
      <c r="H36" s="226"/>
      <c r="I36" s="233"/>
      <c r="J36" s="226"/>
      <c r="K36" s="233"/>
      <c r="L36" s="226"/>
      <c r="M36" s="228"/>
      <c r="N36" s="229"/>
      <c r="O36" s="230"/>
      <c r="P36" s="638"/>
      <c r="Q36" s="639"/>
      <c r="R36" s="610"/>
      <c r="S36" s="868">
        <f>'t1'!N36</f>
        <v>0</v>
      </c>
      <c r="T36"/>
    </row>
    <row r="37" spans="1:20" ht="12.75" customHeight="1">
      <c r="A37" s="24" t="str">
        <f>'t1'!A37</f>
        <v>POSIZ. ECON. B4 PROFILI ACCESSO B3</v>
      </c>
      <c r="B37" s="282" t="str">
        <f>'t1'!B37</f>
        <v>036494</v>
      </c>
      <c r="C37" s="225"/>
      <c r="D37" s="226"/>
      <c r="E37" s="227"/>
      <c r="F37" s="523"/>
      <c r="G37" s="233"/>
      <c r="H37" s="226"/>
      <c r="I37" s="233"/>
      <c r="J37" s="226"/>
      <c r="K37" s="233"/>
      <c r="L37" s="226"/>
      <c r="M37" s="228"/>
      <c r="N37" s="229"/>
      <c r="O37" s="230"/>
      <c r="P37" s="638"/>
      <c r="Q37" s="639"/>
      <c r="R37" s="610"/>
      <c r="S37" s="868">
        <f>'t1'!N37</f>
        <v>0</v>
      </c>
      <c r="T37"/>
    </row>
    <row r="38" spans="1:20" ht="12.75" customHeight="1">
      <c r="A38" s="24" t="str">
        <f>'t1'!A38</f>
        <v>POSIZ. ECON. B4 PROFILI ACCESSO B1</v>
      </c>
      <c r="B38" s="282" t="str">
        <f>'t1'!B38</f>
        <v>036495</v>
      </c>
      <c r="C38" s="225"/>
      <c r="D38" s="226"/>
      <c r="E38" s="227"/>
      <c r="F38" s="523"/>
      <c r="G38" s="233"/>
      <c r="H38" s="226"/>
      <c r="I38" s="233"/>
      <c r="J38" s="226"/>
      <c r="K38" s="233"/>
      <c r="L38" s="226"/>
      <c r="M38" s="228"/>
      <c r="N38" s="229"/>
      <c r="O38" s="230"/>
      <c r="P38" s="638"/>
      <c r="Q38" s="639"/>
      <c r="R38" s="610"/>
      <c r="S38" s="868">
        <f>'t1'!N38</f>
        <v>0</v>
      </c>
      <c r="T38"/>
    </row>
    <row r="39" spans="1:20" ht="12.75" customHeight="1">
      <c r="A39" s="24" t="str">
        <f>'t1'!A39</f>
        <v>POSIZIONE ECONOMICA DI ACCESSO B3</v>
      </c>
      <c r="B39" s="282" t="str">
        <f>'t1'!B39</f>
        <v>055000</v>
      </c>
      <c r="C39" s="225"/>
      <c r="D39" s="226"/>
      <c r="E39" s="227"/>
      <c r="F39" s="523"/>
      <c r="G39" s="233"/>
      <c r="H39" s="226"/>
      <c r="I39" s="233"/>
      <c r="J39" s="226"/>
      <c r="K39" s="233"/>
      <c r="L39" s="226"/>
      <c r="M39" s="228"/>
      <c r="N39" s="229"/>
      <c r="O39" s="230"/>
      <c r="P39" s="638"/>
      <c r="Q39" s="639"/>
      <c r="R39" s="610"/>
      <c r="S39" s="868">
        <f>'t1'!N39</f>
        <v>0</v>
      </c>
      <c r="T39"/>
    </row>
    <row r="40" spans="1:20" ht="12.75" customHeight="1">
      <c r="A40" s="24" t="str">
        <f>'t1'!A40</f>
        <v>POSIZIONE ECONOMICA B3</v>
      </c>
      <c r="B40" s="282" t="str">
        <f>'t1'!B40</f>
        <v>034000</v>
      </c>
      <c r="C40" s="225"/>
      <c r="D40" s="226"/>
      <c r="E40" s="227"/>
      <c r="F40" s="523"/>
      <c r="G40" s="233"/>
      <c r="H40" s="226"/>
      <c r="I40" s="233"/>
      <c r="J40" s="226"/>
      <c r="K40" s="233"/>
      <c r="L40" s="226"/>
      <c r="M40" s="228"/>
      <c r="N40" s="229"/>
      <c r="O40" s="230"/>
      <c r="P40" s="638"/>
      <c r="Q40" s="639"/>
      <c r="R40" s="610"/>
      <c r="S40" s="868">
        <f>'t1'!N40</f>
        <v>0</v>
      </c>
      <c r="T40"/>
    </row>
    <row r="41" spans="1:20" ht="12.75" customHeight="1">
      <c r="A41" s="24" t="str">
        <f>'t1'!A41</f>
        <v>POSIZIONE ECONOMICA B2</v>
      </c>
      <c r="B41" s="282" t="str">
        <f>'t1'!B41</f>
        <v>032000</v>
      </c>
      <c r="C41" s="225"/>
      <c r="D41" s="226"/>
      <c r="E41" s="227"/>
      <c r="F41" s="523"/>
      <c r="G41" s="233"/>
      <c r="H41" s="226"/>
      <c r="I41" s="233"/>
      <c r="J41" s="226"/>
      <c r="K41" s="233"/>
      <c r="L41" s="226"/>
      <c r="M41" s="228"/>
      <c r="N41" s="229"/>
      <c r="O41" s="230"/>
      <c r="P41" s="638"/>
      <c r="Q41" s="639"/>
      <c r="R41" s="610"/>
      <c r="S41" s="868">
        <f>'t1'!N41</f>
        <v>0</v>
      </c>
      <c r="T41"/>
    </row>
    <row r="42" spans="1:20" ht="12.75" customHeight="1">
      <c r="A42" s="24" t="str">
        <f>'t1'!A42</f>
        <v>POSIZIONE ECONOMICA DI ACCESSO B1</v>
      </c>
      <c r="B42" s="282" t="str">
        <f>'t1'!B42</f>
        <v>054000</v>
      </c>
      <c r="C42" s="225"/>
      <c r="D42" s="226"/>
      <c r="E42" s="227"/>
      <c r="F42" s="523"/>
      <c r="G42" s="233"/>
      <c r="H42" s="226"/>
      <c r="I42" s="233"/>
      <c r="J42" s="226"/>
      <c r="K42" s="233"/>
      <c r="L42" s="226"/>
      <c r="M42" s="228"/>
      <c r="N42" s="229"/>
      <c r="O42" s="230"/>
      <c r="P42" s="638"/>
      <c r="Q42" s="639"/>
      <c r="R42" s="610"/>
      <c r="S42" s="868">
        <f>'t1'!N42</f>
        <v>0</v>
      </c>
      <c r="T42"/>
    </row>
    <row r="43" spans="1:20" ht="12.75" customHeight="1">
      <c r="A43" s="24" t="str">
        <f>'t1'!A43</f>
        <v>POSIZIONE ECONOMICA A5</v>
      </c>
      <c r="B43" s="282" t="str">
        <f>'t1'!B43</f>
        <v>0A5000</v>
      </c>
      <c r="C43" s="225"/>
      <c r="D43" s="226"/>
      <c r="E43" s="227"/>
      <c r="F43" s="523"/>
      <c r="G43" s="233"/>
      <c r="H43" s="226"/>
      <c r="I43" s="233"/>
      <c r="J43" s="226"/>
      <c r="K43" s="233"/>
      <c r="L43" s="226"/>
      <c r="M43" s="228"/>
      <c r="N43" s="229"/>
      <c r="O43" s="230"/>
      <c r="P43" s="638"/>
      <c r="Q43" s="639"/>
      <c r="R43" s="610"/>
      <c r="S43" s="868">
        <f>'t1'!N43</f>
        <v>0</v>
      </c>
      <c r="T43"/>
    </row>
    <row r="44" spans="1:20" ht="12.75" customHeight="1">
      <c r="A44" s="24" t="str">
        <f>'t1'!A44</f>
        <v>POSIZIONE ECONOMICA A4</v>
      </c>
      <c r="B44" s="282" t="str">
        <f>'t1'!B44</f>
        <v>028000</v>
      </c>
      <c r="C44" s="225"/>
      <c r="D44" s="226"/>
      <c r="E44" s="227"/>
      <c r="F44" s="523"/>
      <c r="G44" s="233"/>
      <c r="H44" s="226"/>
      <c r="I44" s="233"/>
      <c r="J44" s="226"/>
      <c r="K44" s="233"/>
      <c r="L44" s="226"/>
      <c r="M44" s="228"/>
      <c r="N44" s="229"/>
      <c r="O44" s="230"/>
      <c r="P44" s="638"/>
      <c r="Q44" s="639"/>
      <c r="R44" s="610"/>
      <c r="S44" s="868">
        <f>'t1'!N44</f>
        <v>0</v>
      </c>
      <c r="T44"/>
    </row>
    <row r="45" spans="1:20" ht="12.75" customHeight="1">
      <c r="A45" s="24" t="str">
        <f>'t1'!A45</f>
        <v>POSIZIONE ECONOMICA A3</v>
      </c>
      <c r="B45" s="282" t="str">
        <f>'t1'!B45</f>
        <v>027000</v>
      </c>
      <c r="C45" s="225"/>
      <c r="D45" s="226"/>
      <c r="E45" s="227"/>
      <c r="F45" s="523"/>
      <c r="G45" s="233"/>
      <c r="H45" s="226"/>
      <c r="I45" s="233"/>
      <c r="J45" s="226"/>
      <c r="K45" s="233"/>
      <c r="L45" s="226"/>
      <c r="M45" s="228"/>
      <c r="N45" s="229"/>
      <c r="O45" s="230"/>
      <c r="P45" s="638"/>
      <c r="Q45" s="639"/>
      <c r="R45" s="610"/>
      <c r="S45" s="868">
        <f>'t1'!N45</f>
        <v>0</v>
      </c>
      <c r="T45"/>
    </row>
    <row r="46" spans="1:20" ht="12.75" customHeight="1">
      <c r="A46" s="24" t="str">
        <f>'t1'!A46</f>
        <v>POSIZIONE ECONOMICA A2</v>
      </c>
      <c r="B46" s="282" t="str">
        <f>'t1'!B46</f>
        <v>025000</v>
      </c>
      <c r="C46" s="225"/>
      <c r="D46" s="226"/>
      <c r="E46" s="227"/>
      <c r="F46" s="523"/>
      <c r="G46" s="233"/>
      <c r="H46" s="226"/>
      <c r="I46" s="233"/>
      <c r="J46" s="226"/>
      <c r="K46" s="233"/>
      <c r="L46" s="226"/>
      <c r="M46" s="228"/>
      <c r="N46" s="229"/>
      <c r="O46" s="230"/>
      <c r="P46" s="638"/>
      <c r="Q46" s="639"/>
      <c r="R46" s="610"/>
      <c r="S46" s="868">
        <f>'t1'!N46</f>
        <v>0</v>
      </c>
      <c r="T46"/>
    </row>
    <row r="47" spans="1:20" ht="12.75" customHeight="1">
      <c r="A47" s="24" t="str">
        <f>'t1'!A47</f>
        <v>POSIZIONE ECONOMICA DI ACCESSO A1</v>
      </c>
      <c r="B47" s="282" t="str">
        <f>'t1'!B47</f>
        <v>053000</v>
      </c>
      <c r="C47" s="225"/>
      <c r="D47" s="226"/>
      <c r="E47" s="227"/>
      <c r="F47" s="523"/>
      <c r="G47" s="233"/>
      <c r="H47" s="226"/>
      <c r="I47" s="233"/>
      <c r="J47" s="226"/>
      <c r="K47" s="233"/>
      <c r="L47" s="226"/>
      <c r="M47" s="228"/>
      <c r="N47" s="229"/>
      <c r="O47" s="230"/>
      <c r="P47" s="638"/>
      <c r="Q47" s="639"/>
      <c r="R47" s="610"/>
      <c r="S47" s="868">
        <f>'t1'!N47</f>
        <v>0</v>
      </c>
      <c r="T47"/>
    </row>
    <row r="48" spans="1:20" ht="12.75" customHeight="1">
      <c r="A48" s="24" t="str">
        <f>'t1'!A48</f>
        <v>CONTRATTISTI (a)</v>
      </c>
      <c r="B48" s="282" t="str">
        <f>'t1'!B48</f>
        <v>000061</v>
      </c>
      <c r="C48" s="225"/>
      <c r="D48" s="226"/>
      <c r="E48" s="227"/>
      <c r="F48" s="523"/>
      <c r="G48" s="233"/>
      <c r="H48" s="226"/>
      <c r="I48" s="233"/>
      <c r="J48" s="226"/>
      <c r="K48" s="233"/>
      <c r="L48" s="226"/>
      <c r="M48" s="228"/>
      <c r="N48" s="229"/>
      <c r="O48" s="230"/>
      <c r="P48" s="638"/>
      <c r="Q48" s="640"/>
      <c r="R48" s="611"/>
      <c r="S48" s="868">
        <f>'t1'!N48</f>
        <v>0</v>
      </c>
      <c r="T48"/>
    </row>
    <row r="49" spans="1:24" ht="12.75" customHeight="1" thickBot="1">
      <c r="A49" s="24" t="str">
        <f>'t1'!A49</f>
        <v>COLLABORATORE A T.D. ART. 90 TUEL (b)</v>
      </c>
      <c r="B49" s="282" t="str">
        <f>'t1'!B49</f>
        <v>000096</v>
      </c>
      <c r="C49" s="225"/>
      <c r="D49" s="226"/>
      <c r="E49" s="227"/>
      <c r="F49" s="523"/>
      <c r="G49" s="233"/>
      <c r="H49" s="226"/>
      <c r="I49" s="233"/>
      <c r="J49" s="226"/>
      <c r="K49" s="233"/>
      <c r="L49" s="226"/>
      <c r="M49" s="228"/>
      <c r="N49" s="229"/>
      <c r="O49" s="230"/>
      <c r="P49" s="638"/>
      <c r="Q49" s="640"/>
      <c r="R49" s="611"/>
      <c r="S49" s="868">
        <f>'t1'!N49</f>
        <v>0</v>
      </c>
      <c r="T49"/>
    </row>
    <row r="50" spans="1:24" ht="15.75" customHeight="1" thickTop="1" thickBot="1">
      <c r="A50" s="98" t="s">
        <v>107</v>
      </c>
      <c r="B50" s="165"/>
      <c r="C50" s="429">
        <f t="shared" ref="C50:P50" si="0">SUM(C6:C49)</f>
        <v>0</v>
      </c>
      <c r="D50" s="430">
        <f t="shared" si="0"/>
        <v>1</v>
      </c>
      <c r="E50" s="431">
        <f t="shared" si="0"/>
        <v>0</v>
      </c>
      <c r="F50" s="524">
        <f t="shared" si="0"/>
        <v>0</v>
      </c>
      <c r="G50" s="431">
        <f t="shared" ref="G50:L50" si="1">SUM(G6:G49)</f>
        <v>0</v>
      </c>
      <c r="H50" s="522">
        <f t="shared" si="1"/>
        <v>0</v>
      </c>
      <c r="I50" s="431">
        <f t="shared" si="1"/>
        <v>0</v>
      </c>
      <c r="J50" s="522">
        <f t="shared" si="1"/>
        <v>0</v>
      </c>
      <c r="K50" s="431">
        <f t="shared" si="1"/>
        <v>0</v>
      </c>
      <c r="L50" s="522">
        <f t="shared" si="1"/>
        <v>0</v>
      </c>
      <c r="M50" s="429">
        <f t="shared" si="0"/>
        <v>0</v>
      </c>
      <c r="N50" s="430">
        <f t="shared" si="0"/>
        <v>0</v>
      </c>
      <c r="O50" s="431">
        <f t="shared" si="0"/>
        <v>0</v>
      </c>
      <c r="P50" s="430">
        <f t="shared" si="0"/>
        <v>0</v>
      </c>
      <c r="Q50" s="641">
        <f>SUM(Q6:Q49)</f>
        <v>0</v>
      </c>
      <c r="R50" s="534">
        <f>SUM(R6:R49)</f>
        <v>0</v>
      </c>
      <c r="S50"/>
      <c r="T50"/>
    </row>
    <row r="51" spans="1:24">
      <c r="A51" s="25"/>
      <c r="B51" s="16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24">
      <c r="A52" s="25"/>
      <c r="B52" s="166"/>
      <c r="C52" s="5"/>
      <c r="D52" s="16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S52" s="5"/>
      <c r="T52" s="5"/>
      <c r="U52" s="5"/>
      <c r="V52" s="5"/>
      <c r="W52" s="5"/>
      <c r="X52" s="5"/>
    </row>
    <row r="53" spans="1:24" s="5" customFormat="1">
      <c r="A53" s="25"/>
      <c r="B53" s="7"/>
    </row>
    <row r="54" spans="1:24">
      <c r="A54" s="25" t="s">
        <v>279</v>
      </c>
      <c r="B54" s="167"/>
    </row>
    <row r="55" spans="1:24">
      <c r="A55" s="80" t="s">
        <v>176</v>
      </c>
    </row>
  </sheetData>
  <sheetProtection password="EA98" sheet="1" formatColumns="0" selectLockedCells="1"/>
  <mergeCells count="11">
    <mergeCell ref="C4:D4"/>
    <mergeCell ref="M4:N4"/>
    <mergeCell ref="O4:P4"/>
    <mergeCell ref="Q4:R4"/>
    <mergeCell ref="A1:N1"/>
    <mergeCell ref="F2:P2"/>
    <mergeCell ref="E4:F4"/>
    <mergeCell ref="G4:H4"/>
    <mergeCell ref="M3:R3"/>
    <mergeCell ref="I4:J4"/>
    <mergeCell ref="K4:L4"/>
  </mergeCells>
  <phoneticPr fontId="30" type="noConversion"/>
  <conditionalFormatting sqref="A6:L49">
    <cfRule type="expression" dxfId="14" priority="1" stopIfTrue="1">
      <formula>$S6&gt;0</formula>
    </cfRule>
  </conditionalFormatting>
  <printOptions horizontalCentered="1" verticalCentered="1"/>
  <pageMargins left="0" right="0" top="0.19685039370078741" bottom="0.17" header="0.18" footer="0.21"/>
  <pageSetup paperSize="9" scale="75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/>
  <dimension ref="A1:AW61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ColWidth="9.28515625" defaultRowHeight="10.199999999999999"/>
  <cols>
    <col min="1" max="1" width="38.85546875" style="5" customWidth="1"/>
    <col min="2" max="2" width="9.140625" style="7" customWidth="1"/>
    <col min="3" max="5" width="4" style="7" customWidth="1"/>
    <col min="6" max="46" width="4" style="5" customWidth="1"/>
    <col min="47" max="47" width="12" style="5" customWidth="1"/>
    <col min="48" max="70" width="3.85546875" style="5" customWidth="1"/>
    <col min="71" max="16384" width="9.28515625" style="5"/>
  </cols>
  <sheetData>
    <row r="1" spans="1:47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1442"/>
      <c r="L1" s="1442"/>
      <c r="M1" s="1442"/>
      <c r="N1" s="1442"/>
      <c r="O1" s="1442"/>
      <c r="P1" s="1442"/>
      <c r="Q1" s="1442"/>
      <c r="R1" s="1442"/>
      <c r="S1" s="1442"/>
      <c r="T1" s="1442"/>
      <c r="U1" s="1442"/>
      <c r="V1" s="1442"/>
      <c r="W1" s="1442"/>
      <c r="X1" s="1442"/>
      <c r="Y1" s="1442"/>
      <c r="Z1" s="1442"/>
      <c r="AA1" s="1442"/>
      <c r="AB1" s="1442"/>
      <c r="AC1" s="1442"/>
      <c r="AD1" s="1442"/>
      <c r="AE1" s="1442"/>
      <c r="AF1" s="1442"/>
      <c r="AG1" s="1442"/>
      <c r="AH1" s="1442"/>
      <c r="AI1" s="1442"/>
      <c r="AJ1" s="1442"/>
      <c r="AK1" s="1442"/>
      <c r="AL1" s="1442"/>
      <c r="AM1" s="1442"/>
      <c r="AN1" s="1442"/>
      <c r="AO1" s="1442"/>
      <c r="AP1" s="1442"/>
      <c r="AQ1" s="1442"/>
      <c r="AR1" s="1442"/>
      <c r="AS1" s="1442"/>
      <c r="AT1" s="1442"/>
      <c r="AU1" s="311"/>
    </row>
    <row r="2" spans="1:47" ht="30" customHeight="1" thickBot="1">
      <c r="A2" s="1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443"/>
      <c r="AG2" s="1443"/>
      <c r="AH2" s="1443"/>
      <c r="AI2" s="1443"/>
      <c r="AJ2" s="1443"/>
      <c r="AK2" s="1443"/>
      <c r="AL2" s="1443"/>
      <c r="AM2" s="1443"/>
      <c r="AN2" s="1443"/>
      <c r="AO2" s="1443"/>
      <c r="AP2" s="1443"/>
      <c r="AQ2" s="1443"/>
      <c r="AR2" s="1443"/>
      <c r="AS2" s="1443"/>
      <c r="AT2" s="1443"/>
      <c r="AU2" s="1443"/>
    </row>
    <row r="3" spans="1:47" ht="13.8" thickBot="1">
      <c r="A3" s="304"/>
      <c r="B3" s="13"/>
      <c r="C3" s="1454" t="s">
        <v>102</v>
      </c>
      <c r="D3" s="1454"/>
      <c r="E3" s="1454"/>
      <c r="F3" s="1454"/>
      <c r="G3" s="1454"/>
      <c r="H3" s="1454"/>
      <c r="I3" s="1454"/>
      <c r="J3" s="1454"/>
      <c r="K3" s="1454"/>
      <c r="L3" s="1454"/>
      <c r="M3" s="1454"/>
      <c r="N3" s="1454"/>
      <c r="O3" s="1454"/>
      <c r="P3" s="1454"/>
      <c r="Q3" s="1454"/>
      <c r="R3" s="1454"/>
      <c r="S3" s="1454"/>
      <c r="T3" s="1454"/>
      <c r="U3" s="1454"/>
      <c r="V3" s="1454"/>
      <c r="W3" s="1454"/>
      <c r="X3" s="1454"/>
      <c r="Y3" s="1454"/>
      <c r="Z3" s="1454"/>
      <c r="AA3" s="1454"/>
      <c r="AB3" s="1454"/>
      <c r="AC3" s="1454"/>
      <c r="AD3" s="1454"/>
      <c r="AE3" s="1454"/>
      <c r="AF3" s="1454"/>
      <c r="AG3" s="1454"/>
      <c r="AH3" s="1454"/>
      <c r="AI3" s="1454"/>
      <c r="AJ3" s="1454"/>
      <c r="AK3" s="1454"/>
      <c r="AL3" s="1454"/>
      <c r="AM3" s="1454"/>
      <c r="AN3" s="1454"/>
      <c r="AO3" s="1454"/>
      <c r="AP3" s="1454"/>
      <c r="AQ3" s="1454"/>
      <c r="AR3" s="1454"/>
      <c r="AS3" s="1454"/>
      <c r="AT3" s="1454"/>
      <c r="AU3" s="223"/>
    </row>
    <row r="4" spans="1:47" s="102" customFormat="1" ht="16.5" customHeight="1" thickTop="1">
      <c r="A4" s="307"/>
      <c r="B4" s="305"/>
      <c r="C4" s="1452" t="s">
        <v>214</v>
      </c>
      <c r="D4" s="1453"/>
      <c r="E4" s="1453"/>
      <c r="F4" s="1453"/>
      <c r="G4" s="1453"/>
      <c r="H4" s="1453"/>
      <c r="I4" s="1453"/>
      <c r="J4" s="1453"/>
      <c r="K4" s="1453"/>
      <c r="L4" s="1453"/>
      <c r="M4" s="1453"/>
      <c r="N4" s="1453"/>
      <c r="O4" s="1453"/>
      <c r="P4" s="1453"/>
      <c r="Q4" s="1453"/>
      <c r="R4" s="1453"/>
      <c r="S4" s="1453"/>
      <c r="T4" s="1453"/>
      <c r="U4" s="1453"/>
      <c r="V4" s="1453"/>
      <c r="W4" s="1453"/>
      <c r="X4" s="1453"/>
      <c r="Y4" s="1453"/>
      <c r="Z4" s="1453"/>
      <c r="AA4" s="1453"/>
      <c r="AB4" s="1453"/>
      <c r="AC4" s="1453"/>
      <c r="AD4" s="1453"/>
      <c r="AE4" s="1453"/>
      <c r="AF4" s="1453"/>
      <c r="AG4" s="1453"/>
      <c r="AH4" s="1453"/>
      <c r="AI4" s="1453"/>
      <c r="AJ4" s="1453"/>
      <c r="AK4" s="1453"/>
      <c r="AL4" s="1453"/>
      <c r="AM4" s="1453"/>
      <c r="AN4" s="1453"/>
      <c r="AO4" s="1453"/>
      <c r="AP4" s="1453"/>
      <c r="AQ4" s="1453"/>
      <c r="AR4" s="1453"/>
      <c r="AS4" s="1453"/>
      <c r="AT4" s="1453"/>
      <c r="AU4" s="308"/>
    </row>
    <row r="5" spans="1:47" ht="63.75" customHeight="1" thickBot="1">
      <c r="A5" s="303" t="s">
        <v>290</v>
      </c>
      <c r="B5" s="306" t="s">
        <v>291</v>
      </c>
      <c r="C5" s="243" t="str">
        <f>B6</f>
        <v>0D0102</v>
      </c>
      <c r="D5" s="244" t="str">
        <f>B7</f>
        <v>0D0103</v>
      </c>
      <c r="E5" s="244" t="str">
        <f>B8</f>
        <v>0D0485</v>
      </c>
      <c r="F5" s="244" t="str">
        <f>B9</f>
        <v>0D0104</v>
      </c>
      <c r="G5" s="244" t="str">
        <f>B10</f>
        <v>0D0097</v>
      </c>
      <c r="H5" s="244" t="str">
        <f>B11</f>
        <v>0D0098</v>
      </c>
      <c r="I5" s="244" t="str">
        <f>B12</f>
        <v>0D0095</v>
      </c>
      <c r="J5" s="244" t="str">
        <f>B13</f>
        <v>0D0164</v>
      </c>
      <c r="K5" s="244" t="str">
        <f>B14</f>
        <v>0D0165</v>
      </c>
      <c r="L5" s="245" t="str">
        <f>B15</f>
        <v>0D0I95</v>
      </c>
      <c r="M5" s="245" t="str">
        <f>B16</f>
        <v>0D6A00</v>
      </c>
      <c r="N5" s="244" t="str">
        <f>B17</f>
        <v>0D6000</v>
      </c>
      <c r="O5" s="244" t="str">
        <f>B18</f>
        <v>052486</v>
      </c>
      <c r="P5" s="244" t="str">
        <f>B19</f>
        <v>052487</v>
      </c>
      <c r="Q5" s="244" t="str">
        <f>B20</f>
        <v>051488</v>
      </c>
      <c r="R5" s="244" t="str">
        <f>B21</f>
        <v>051489</v>
      </c>
      <c r="S5" s="244" t="str">
        <f>B22</f>
        <v>058000</v>
      </c>
      <c r="T5" s="244" t="str">
        <f>B23</f>
        <v>050000</v>
      </c>
      <c r="U5" s="244" t="str">
        <f>B24</f>
        <v>049000</v>
      </c>
      <c r="V5" s="245" t="str">
        <f>B25</f>
        <v>057000</v>
      </c>
      <c r="W5" s="244" t="str">
        <f>B26</f>
        <v>046000</v>
      </c>
      <c r="X5" s="244" t="str">
        <f>B27</f>
        <v>045000</v>
      </c>
      <c r="Y5" s="244" t="str">
        <f>B28</f>
        <v>043000</v>
      </c>
      <c r="Z5" s="244" t="str">
        <f>B29</f>
        <v>042000</v>
      </c>
      <c r="AA5" s="245" t="str">
        <f>B30</f>
        <v>056000</v>
      </c>
      <c r="AB5" s="245" t="str">
        <f>B31</f>
        <v>0B7A00</v>
      </c>
      <c r="AC5" s="244" t="str">
        <f>B32</f>
        <v>0B7000</v>
      </c>
      <c r="AD5" s="244" t="str">
        <f>B33</f>
        <v>038490</v>
      </c>
      <c r="AE5" s="244" t="str">
        <f>B34</f>
        <v>038491</v>
      </c>
      <c r="AF5" s="244" t="str">
        <f>B35</f>
        <v>037492</v>
      </c>
      <c r="AG5" s="244" t="str">
        <f>B36</f>
        <v>037493</v>
      </c>
      <c r="AH5" s="244" t="str">
        <f>B37</f>
        <v>036494</v>
      </c>
      <c r="AI5" s="244" t="str">
        <f>B38</f>
        <v>036495</v>
      </c>
      <c r="AJ5" s="244" t="str">
        <f>B39</f>
        <v>055000</v>
      </c>
      <c r="AK5" s="244" t="str">
        <f>B40</f>
        <v>034000</v>
      </c>
      <c r="AL5" s="244" t="str">
        <f>B41</f>
        <v>032000</v>
      </c>
      <c r="AM5" s="244" t="str">
        <f>B42</f>
        <v>054000</v>
      </c>
      <c r="AN5" s="244" t="str">
        <f>B43</f>
        <v>0A5000</v>
      </c>
      <c r="AO5" s="244" t="str">
        <f>B44</f>
        <v>028000</v>
      </c>
      <c r="AP5" s="244" t="str">
        <f>B45</f>
        <v>027000</v>
      </c>
      <c r="AQ5" s="244" t="str">
        <f>B46</f>
        <v>025000</v>
      </c>
      <c r="AR5" s="244" t="str">
        <f>B47</f>
        <v>053000</v>
      </c>
      <c r="AS5" s="244" t="str">
        <f>B48</f>
        <v>000061</v>
      </c>
      <c r="AT5" s="244" t="str">
        <f>B49</f>
        <v>000096</v>
      </c>
      <c r="AU5" s="309" t="s">
        <v>171</v>
      </c>
    </row>
    <row r="6" spans="1:47" ht="12" customHeight="1" thickTop="1">
      <c r="A6" s="24" t="str">
        <f>'t1'!A6</f>
        <v>SEGRETARIO A</v>
      </c>
      <c r="B6" s="151" t="str">
        <f>'t1'!B6</f>
        <v>0D0102</v>
      </c>
      <c r="C6" s="246"/>
      <c r="D6" s="246"/>
      <c r="E6" s="246"/>
      <c r="F6" s="247"/>
      <c r="G6" s="247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432">
        <f t="shared" ref="AU6:AU49" si="0">SUM(C6:AT6)</f>
        <v>0</v>
      </c>
    </row>
    <row r="7" spans="1:47" ht="12" customHeight="1">
      <c r="A7" s="152" t="str">
        <f>'t1'!A7</f>
        <v>SEGRETARIO B</v>
      </c>
      <c r="B7" s="224" t="str">
        <f>'t1'!B7</f>
        <v>0D0103</v>
      </c>
      <c r="C7" s="247"/>
      <c r="D7" s="247"/>
      <c r="E7" s="247"/>
      <c r="F7" s="247"/>
      <c r="G7" s="247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432">
        <f t="shared" si="0"/>
        <v>0</v>
      </c>
    </row>
    <row r="8" spans="1:47" ht="12" customHeight="1">
      <c r="A8" s="152" t="str">
        <f>'t1'!A8</f>
        <v>SEGRETARIO C</v>
      </c>
      <c r="B8" s="224" t="str">
        <f>'t1'!B8</f>
        <v>0D0485</v>
      </c>
      <c r="C8" s="247"/>
      <c r="D8" s="247"/>
      <c r="E8" s="247"/>
      <c r="F8" s="247"/>
      <c r="G8" s="247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432">
        <f t="shared" si="0"/>
        <v>0</v>
      </c>
    </row>
    <row r="9" spans="1:47" ht="12" customHeight="1">
      <c r="A9" s="152" t="str">
        <f>'t1'!A9</f>
        <v>SEGRETARIO GENERALE CCIAA</v>
      </c>
      <c r="B9" s="224" t="str">
        <f>'t1'!B9</f>
        <v>0D0104</v>
      </c>
      <c r="C9" s="247"/>
      <c r="D9" s="247"/>
      <c r="E9" s="247"/>
      <c r="F9" s="247"/>
      <c r="G9" s="247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432">
        <f t="shared" si="0"/>
        <v>0</v>
      </c>
    </row>
    <row r="10" spans="1:47" ht="12" customHeight="1">
      <c r="A10" s="152" t="str">
        <f>'t1'!A10</f>
        <v>DIRETTORE  GENERALE</v>
      </c>
      <c r="B10" s="224" t="str">
        <f>'t1'!B10</f>
        <v>0D0097</v>
      </c>
      <c r="C10" s="250"/>
      <c r="D10" s="251"/>
      <c r="E10" s="251"/>
      <c r="F10" s="247"/>
      <c r="G10" s="247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432">
        <f t="shared" si="0"/>
        <v>0</v>
      </c>
    </row>
    <row r="11" spans="1:47" ht="12" customHeight="1">
      <c r="A11" s="152" t="str">
        <f>'t1'!A11</f>
        <v>DIRIGENTE FUORI D.O. art.110 c.2 TUEL</v>
      </c>
      <c r="B11" s="224" t="str">
        <f>'t1'!B11</f>
        <v>0D0098</v>
      </c>
      <c r="C11" s="250"/>
      <c r="D11" s="251"/>
      <c r="E11" s="251"/>
      <c r="F11" s="247"/>
      <c r="G11" s="247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432">
        <f t="shared" si="0"/>
        <v>0</v>
      </c>
    </row>
    <row r="12" spans="1:47" ht="12" customHeight="1">
      <c r="A12" s="152" t="str">
        <f>'t1'!A12</f>
        <v>ALTE SPECIALIZZ. FUORI D.O.art.110 c.2 TUEL</v>
      </c>
      <c r="B12" s="224" t="str">
        <f>'t1'!B12</f>
        <v>0D0095</v>
      </c>
      <c r="C12" s="247"/>
      <c r="D12" s="247"/>
      <c r="E12" s="247"/>
      <c r="F12" s="247"/>
      <c r="G12" s="247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432">
        <f t="shared" si="0"/>
        <v>0</v>
      </c>
    </row>
    <row r="13" spans="1:47" ht="12" customHeight="1">
      <c r="A13" s="152" t="str">
        <f>'t1'!A13</f>
        <v>DIRIGENTE A TEMPO INDETERMINATO</v>
      </c>
      <c r="B13" s="224" t="str">
        <f>'t1'!B13</f>
        <v>0D0164</v>
      </c>
      <c r="C13" s="252"/>
      <c r="D13" s="252"/>
      <c r="E13" s="252"/>
      <c r="F13" s="252"/>
      <c r="G13" s="252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432">
        <f t="shared" si="0"/>
        <v>0</v>
      </c>
    </row>
    <row r="14" spans="1:47" ht="12" customHeight="1">
      <c r="A14" s="152" t="str">
        <f>'t1'!A14</f>
        <v>DIRIGENTE A TEMPO DET.TO  ART.110 C.1 TUEL</v>
      </c>
      <c r="B14" s="224" t="str">
        <f>'t1'!B14</f>
        <v>0D0165</v>
      </c>
      <c r="C14" s="252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432">
        <f t="shared" si="0"/>
        <v>0</v>
      </c>
    </row>
    <row r="15" spans="1:47" ht="12" customHeight="1">
      <c r="A15" s="152" t="str">
        <f>'t1'!A15</f>
        <v>ALTE SPECIALIZZ. IN D.O. art.110 c.1 TUEL</v>
      </c>
      <c r="B15" s="224" t="str">
        <f>'t1'!B15</f>
        <v>0D0I95</v>
      </c>
      <c r="C15" s="252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432">
        <f t="shared" si="0"/>
        <v>0</v>
      </c>
    </row>
    <row r="16" spans="1:47" ht="12" customHeight="1">
      <c r="A16" s="152" t="str">
        <f>'t1'!A16</f>
        <v>POSIZ. ECON. D6 - PROFILI ACCESSO D3</v>
      </c>
      <c r="B16" s="224" t="str">
        <f>'t1'!B16</f>
        <v>0D6A00</v>
      </c>
      <c r="C16" s="252"/>
      <c r="D16" s="247"/>
      <c r="E16" s="247"/>
      <c r="F16" s="247"/>
      <c r="G16" s="247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432">
        <f t="shared" si="0"/>
        <v>0</v>
      </c>
    </row>
    <row r="17" spans="1:47" ht="12" customHeight="1">
      <c r="A17" s="152" t="str">
        <f>'t1'!A17</f>
        <v>POSIZ. ECON. D6 - PROFILO ACCESSO D1</v>
      </c>
      <c r="B17" s="224" t="str">
        <f>'t1'!B17</f>
        <v>0D6000</v>
      </c>
      <c r="C17" s="252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432">
        <f t="shared" si="0"/>
        <v>0</v>
      </c>
    </row>
    <row r="18" spans="1:47" ht="12" customHeight="1">
      <c r="A18" s="152" t="str">
        <f>'t1'!A18</f>
        <v>POSIZ. ECON. D5 PROFILI ACCESSO D3</v>
      </c>
      <c r="B18" s="224" t="str">
        <f>'t1'!B18</f>
        <v>052486</v>
      </c>
      <c r="C18" s="252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432">
        <f t="shared" si="0"/>
        <v>0</v>
      </c>
    </row>
    <row r="19" spans="1:47" ht="12" customHeight="1">
      <c r="A19" s="152" t="str">
        <f>'t1'!A19</f>
        <v>POSIZ. ECON. D5 PROFILI ACCESSO D1</v>
      </c>
      <c r="B19" s="224" t="str">
        <f>'t1'!B19</f>
        <v>052487</v>
      </c>
      <c r="C19" s="252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432">
        <f t="shared" si="0"/>
        <v>0</v>
      </c>
    </row>
    <row r="20" spans="1:47" ht="12" customHeight="1">
      <c r="A20" s="152" t="str">
        <f>'t1'!A20</f>
        <v>POSIZ. ECON. D4 PROFILI ACCESSO D3</v>
      </c>
      <c r="B20" s="224" t="str">
        <f>'t1'!B20</f>
        <v>051488</v>
      </c>
      <c r="C20" s="252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432">
        <f t="shared" si="0"/>
        <v>0</v>
      </c>
    </row>
    <row r="21" spans="1:47" ht="12" customHeight="1">
      <c r="A21" s="152" t="str">
        <f>'t1'!A21</f>
        <v>POSIZ. ECON. D4 PROFILI ACCESSO D1</v>
      </c>
      <c r="B21" s="224" t="str">
        <f>'t1'!B21</f>
        <v>051489</v>
      </c>
      <c r="C21" s="252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432">
        <f t="shared" si="0"/>
        <v>0</v>
      </c>
    </row>
    <row r="22" spans="1:47" ht="12" customHeight="1">
      <c r="A22" s="152" t="str">
        <f>'t1'!A22</f>
        <v>POSIZIONE ECONOMICA DI ACCESSO D3</v>
      </c>
      <c r="B22" s="224" t="str">
        <f>'t1'!B22</f>
        <v>058000</v>
      </c>
      <c r="C22" s="252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432">
        <f t="shared" si="0"/>
        <v>0</v>
      </c>
    </row>
    <row r="23" spans="1:47" ht="12" customHeight="1">
      <c r="A23" s="152" t="str">
        <f>'t1'!A23</f>
        <v>POSIZIONE ECONOMICA D3</v>
      </c>
      <c r="B23" s="224" t="str">
        <f>'t1'!B23</f>
        <v>050000</v>
      </c>
      <c r="C23" s="252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432">
        <f t="shared" si="0"/>
        <v>0</v>
      </c>
    </row>
    <row r="24" spans="1:47" ht="12" customHeight="1">
      <c r="A24" s="152" t="str">
        <f>'t1'!A24</f>
        <v>POSIZIONE ECONOMICA D2</v>
      </c>
      <c r="B24" s="224" t="str">
        <f>'t1'!B24</f>
        <v>049000</v>
      </c>
      <c r="C24" s="252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432">
        <f t="shared" si="0"/>
        <v>0</v>
      </c>
    </row>
    <row r="25" spans="1:47" ht="12" customHeight="1">
      <c r="A25" s="152" t="str">
        <f>'t1'!A25</f>
        <v>POSIZIONE ECONOMICA DI ACCESSO D1</v>
      </c>
      <c r="B25" s="224" t="str">
        <f>'t1'!B25</f>
        <v>057000</v>
      </c>
      <c r="C25" s="252"/>
      <c r="D25" s="247"/>
      <c r="E25" s="247"/>
      <c r="F25" s="247"/>
      <c r="G25" s="247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432">
        <f t="shared" si="0"/>
        <v>0</v>
      </c>
    </row>
    <row r="26" spans="1:47" ht="12" customHeight="1">
      <c r="A26" s="152" t="str">
        <f>'t1'!A26</f>
        <v>POSIZIONE ECONOMICA C5</v>
      </c>
      <c r="B26" s="224" t="str">
        <f>'t1'!B26</f>
        <v>046000</v>
      </c>
      <c r="C26" s="252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432">
        <f t="shared" si="0"/>
        <v>0</v>
      </c>
    </row>
    <row r="27" spans="1:47" ht="12" customHeight="1">
      <c r="A27" s="152" t="str">
        <f>'t1'!A27</f>
        <v>POSIZIONE ECONOMICA C4</v>
      </c>
      <c r="B27" s="224" t="str">
        <f>'t1'!B27</f>
        <v>045000</v>
      </c>
      <c r="C27" s="252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432">
        <f t="shared" si="0"/>
        <v>0</v>
      </c>
    </row>
    <row r="28" spans="1:47" ht="12" customHeight="1">
      <c r="A28" s="152" t="str">
        <f>'t1'!A28</f>
        <v>POSIZIONE ECONOMICA C3</v>
      </c>
      <c r="B28" s="224" t="str">
        <f>'t1'!B28</f>
        <v>043000</v>
      </c>
      <c r="C28" s="252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432">
        <f t="shared" si="0"/>
        <v>0</v>
      </c>
    </row>
    <row r="29" spans="1:47" ht="12" customHeight="1">
      <c r="A29" s="152" t="str">
        <f>'t1'!A29</f>
        <v>POSIZIONE ECONOMICA C2</v>
      </c>
      <c r="B29" s="224" t="str">
        <f>'t1'!B29</f>
        <v>042000</v>
      </c>
      <c r="C29" s="252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432">
        <f t="shared" si="0"/>
        <v>0</v>
      </c>
    </row>
    <row r="30" spans="1:47" ht="12" customHeight="1">
      <c r="A30" s="152" t="str">
        <f>'t1'!A30</f>
        <v>POSIZIONE ECONOMICA DI ACCESSO C1</v>
      </c>
      <c r="B30" s="224" t="str">
        <f>'t1'!B30</f>
        <v>056000</v>
      </c>
      <c r="C30" s="253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432">
        <f t="shared" si="0"/>
        <v>0</v>
      </c>
    </row>
    <row r="31" spans="1:47" ht="12" customHeight="1">
      <c r="A31" s="152" t="str">
        <f>'t1'!A31</f>
        <v>POSIZ. ECON. B7 - PROFILO ACCESSO B3</v>
      </c>
      <c r="B31" s="224" t="str">
        <f>'t1'!B31</f>
        <v>0B7A00</v>
      </c>
      <c r="C31" s="253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432">
        <f t="shared" si="0"/>
        <v>0</v>
      </c>
    </row>
    <row r="32" spans="1:47" ht="12" customHeight="1">
      <c r="A32" s="152" t="str">
        <f>'t1'!A32</f>
        <v>POSIZ. ECON. B7 - PROFILO  ACCESSO B1</v>
      </c>
      <c r="B32" s="224" t="str">
        <f>'t1'!B32</f>
        <v>0B7000</v>
      </c>
      <c r="C32" s="253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432">
        <f t="shared" si="0"/>
        <v>0</v>
      </c>
    </row>
    <row r="33" spans="1:47" ht="12" customHeight="1">
      <c r="A33" s="152" t="str">
        <f>'t1'!A33</f>
        <v>POSIZ. ECON. B6 PROFILI ACCESSO B3</v>
      </c>
      <c r="B33" s="224" t="str">
        <f>'t1'!B33</f>
        <v>038490</v>
      </c>
      <c r="C33" s="253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432">
        <f t="shared" si="0"/>
        <v>0</v>
      </c>
    </row>
    <row r="34" spans="1:47" ht="12" customHeight="1">
      <c r="A34" s="152" t="str">
        <f>'t1'!A34</f>
        <v>POSIZ. ECON. B6 PROFILI ACCESSO B1</v>
      </c>
      <c r="B34" s="224" t="str">
        <f>'t1'!B34</f>
        <v>038491</v>
      </c>
      <c r="C34" s="253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432">
        <f t="shared" si="0"/>
        <v>0</v>
      </c>
    </row>
    <row r="35" spans="1:47" ht="12" customHeight="1">
      <c r="A35" s="152" t="str">
        <f>'t1'!A35</f>
        <v>POSIZ. ECON. B5 PROFILI ACCESSO B3</v>
      </c>
      <c r="B35" s="224" t="str">
        <f>'t1'!B35</f>
        <v>037492</v>
      </c>
      <c r="C35" s="253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432">
        <f t="shared" si="0"/>
        <v>0</v>
      </c>
    </row>
    <row r="36" spans="1:47" ht="12" customHeight="1">
      <c r="A36" s="152" t="str">
        <f>'t1'!A36</f>
        <v>POSIZ. ECON. B5 PROFILI ACCESSO B1</v>
      </c>
      <c r="B36" s="224" t="str">
        <f>'t1'!B36</f>
        <v>037493</v>
      </c>
      <c r="C36" s="253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432">
        <f t="shared" si="0"/>
        <v>0</v>
      </c>
    </row>
    <row r="37" spans="1:47" ht="12" customHeight="1">
      <c r="A37" s="152" t="str">
        <f>'t1'!A37</f>
        <v>POSIZ. ECON. B4 PROFILI ACCESSO B3</v>
      </c>
      <c r="B37" s="224" t="str">
        <f>'t1'!B37</f>
        <v>036494</v>
      </c>
      <c r="C37" s="253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432">
        <f t="shared" si="0"/>
        <v>0</v>
      </c>
    </row>
    <row r="38" spans="1:47" ht="12" customHeight="1">
      <c r="A38" s="152" t="str">
        <f>'t1'!A38</f>
        <v>POSIZ. ECON. B4 PROFILI ACCESSO B1</v>
      </c>
      <c r="B38" s="224" t="str">
        <f>'t1'!B38</f>
        <v>036495</v>
      </c>
      <c r="C38" s="253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432">
        <f t="shared" si="0"/>
        <v>0</v>
      </c>
    </row>
    <row r="39" spans="1:47" ht="12" customHeight="1">
      <c r="A39" s="152" t="str">
        <f>'t1'!A39</f>
        <v>POSIZIONE ECONOMICA DI ACCESSO B3</v>
      </c>
      <c r="B39" s="224" t="str">
        <f>'t1'!B39</f>
        <v>055000</v>
      </c>
      <c r="C39" s="253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432">
        <f t="shared" si="0"/>
        <v>0</v>
      </c>
    </row>
    <row r="40" spans="1:47" ht="12" customHeight="1">
      <c r="A40" s="152" t="str">
        <f>'t1'!A40</f>
        <v>POSIZIONE ECONOMICA B3</v>
      </c>
      <c r="B40" s="224" t="str">
        <f>'t1'!B40</f>
        <v>034000</v>
      </c>
      <c r="C40" s="253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432">
        <f t="shared" si="0"/>
        <v>0</v>
      </c>
    </row>
    <row r="41" spans="1:47" ht="12" customHeight="1">
      <c r="A41" s="152" t="str">
        <f>'t1'!A41</f>
        <v>POSIZIONE ECONOMICA B2</v>
      </c>
      <c r="B41" s="224" t="str">
        <f>'t1'!B41</f>
        <v>032000</v>
      </c>
      <c r="C41" s="253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432">
        <f t="shared" si="0"/>
        <v>0</v>
      </c>
    </row>
    <row r="42" spans="1:47" ht="12" customHeight="1">
      <c r="A42" s="152" t="str">
        <f>'t1'!A42</f>
        <v>POSIZIONE ECONOMICA DI ACCESSO B1</v>
      </c>
      <c r="B42" s="224" t="str">
        <f>'t1'!B42</f>
        <v>054000</v>
      </c>
      <c r="C42" s="253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432">
        <f t="shared" si="0"/>
        <v>0</v>
      </c>
    </row>
    <row r="43" spans="1:47" ht="12" customHeight="1">
      <c r="A43" s="152" t="str">
        <f>'t1'!A43</f>
        <v>POSIZIONE ECONOMICA A5</v>
      </c>
      <c r="B43" s="224" t="str">
        <f>'t1'!B43</f>
        <v>0A5000</v>
      </c>
      <c r="C43" s="253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432">
        <f t="shared" si="0"/>
        <v>0</v>
      </c>
    </row>
    <row r="44" spans="1:47" ht="12" customHeight="1">
      <c r="A44" s="152" t="str">
        <f>'t1'!A44</f>
        <v>POSIZIONE ECONOMICA A4</v>
      </c>
      <c r="B44" s="224" t="str">
        <f>'t1'!B44</f>
        <v>028000</v>
      </c>
      <c r="C44" s="253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432">
        <f t="shared" si="0"/>
        <v>0</v>
      </c>
    </row>
    <row r="45" spans="1:47" ht="12" customHeight="1">
      <c r="A45" s="152" t="str">
        <f>'t1'!A45</f>
        <v>POSIZIONE ECONOMICA A3</v>
      </c>
      <c r="B45" s="224" t="str">
        <f>'t1'!B45</f>
        <v>027000</v>
      </c>
      <c r="C45" s="253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432">
        <f t="shared" si="0"/>
        <v>0</v>
      </c>
    </row>
    <row r="46" spans="1:47" ht="12" customHeight="1">
      <c r="A46" s="152" t="str">
        <f>'t1'!A46</f>
        <v>POSIZIONE ECONOMICA A2</v>
      </c>
      <c r="B46" s="224" t="str">
        <f>'t1'!B46</f>
        <v>025000</v>
      </c>
      <c r="C46" s="253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432">
        <f t="shared" si="0"/>
        <v>0</v>
      </c>
    </row>
    <row r="47" spans="1:47" ht="12" customHeight="1">
      <c r="A47" s="152" t="str">
        <f>'t1'!A47</f>
        <v>POSIZIONE ECONOMICA DI ACCESSO A1</v>
      </c>
      <c r="B47" s="224" t="str">
        <f>'t1'!B47</f>
        <v>053000</v>
      </c>
      <c r="C47" s="253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432">
        <f t="shared" si="0"/>
        <v>0</v>
      </c>
    </row>
    <row r="48" spans="1:47" ht="12" customHeight="1">
      <c r="A48" s="152" t="str">
        <f>'t1'!A48</f>
        <v>CONTRATTISTI (a)</v>
      </c>
      <c r="B48" s="224" t="str">
        <f>'t1'!B48</f>
        <v>000061</v>
      </c>
      <c r="C48" s="253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432">
        <f>SUM(C48:AT48)</f>
        <v>0</v>
      </c>
    </row>
    <row r="49" spans="1:49" ht="12" customHeight="1" thickBot="1">
      <c r="A49" s="152" t="str">
        <f>'t1'!A49</f>
        <v>COLLABORATORE A T.D. ART. 90 TUEL (b)</v>
      </c>
      <c r="B49" s="224" t="str">
        <f>'t1'!B49</f>
        <v>000096</v>
      </c>
      <c r="C49" s="253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432">
        <f t="shared" si="0"/>
        <v>0</v>
      </c>
    </row>
    <row r="50" spans="1:49" s="104" customFormat="1" ht="17.25" customHeight="1" thickTop="1" thickBot="1">
      <c r="A50" s="221" t="s">
        <v>211</v>
      </c>
      <c r="B50" s="222"/>
      <c r="C50" s="434">
        <f t="shared" ref="C50:AU50" si="1">SUM(C6:C49)</f>
        <v>0</v>
      </c>
      <c r="D50" s="435">
        <f t="shared" si="1"/>
        <v>0</v>
      </c>
      <c r="E50" s="435">
        <f t="shared" si="1"/>
        <v>0</v>
      </c>
      <c r="F50" s="435">
        <f t="shared" si="1"/>
        <v>0</v>
      </c>
      <c r="G50" s="435">
        <f t="shared" si="1"/>
        <v>0</v>
      </c>
      <c r="H50" s="435">
        <f t="shared" si="1"/>
        <v>0</v>
      </c>
      <c r="I50" s="435">
        <f t="shared" si="1"/>
        <v>0</v>
      </c>
      <c r="J50" s="435">
        <f t="shared" si="1"/>
        <v>0</v>
      </c>
      <c r="K50" s="435">
        <f t="shared" si="1"/>
        <v>0</v>
      </c>
      <c r="L50" s="435">
        <f t="shared" si="1"/>
        <v>0</v>
      </c>
      <c r="M50" s="435">
        <f t="shared" si="1"/>
        <v>0</v>
      </c>
      <c r="N50" s="435">
        <f t="shared" si="1"/>
        <v>0</v>
      </c>
      <c r="O50" s="435">
        <f t="shared" si="1"/>
        <v>0</v>
      </c>
      <c r="P50" s="435">
        <f t="shared" si="1"/>
        <v>0</v>
      </c>
      <c r="Q50" s="435">
        <f t="shared" si="1"/>
        <v>0</v>
      </c>
      <c r="R50" s="435">
        <f t="shared" si="1"/>
        <v>0</v>
      </c>
      <c r="S50" s="435">
        <f t="shared" si="1"/>
        <v>0</v>
      </c>
      <c r="T50" s="435">
        <f t="shared" si="1"/>
        <v>0</v>
      </c>
      <c r="U50" s="435">
        <f t="shared" si="1"/>
        <v>0</v>
      </c>
      <c r="V50" s="435">
        <f t="shared" si="1"/>
        <v>0</v>
      </c>
      <c r="W50" s="435">
        <f t="shared" si="1"/>
        <v>0</v>
      </c>
      <c r="X50" s="435">
        <f t="shared" si="1"/>
        <v>0</v>
      </c>
      <c r="Y50" s="435">
        <f t="shared" si="1"/>
        <v>0</v>
      </c>
      <c r="Z50" s="435">
        <f t="shared" si="1"/>
        <v>0</v>
      </c>
      <c r="AA50" s="435">
        <f t="shared" si="1"/>
        <v>0</v>
      </c>
      <c r="AB50" s="435">
        <f t="shared" si="1"/>
        <v>0</v>
      </c>
      <c r="AC50" s="435">
        <f t="shared" si="1"/>
        <v>0</v>
      </c>
      <c r="AD50" s="435">
        <f t="shared" si="1"/>
        <v>0</v>
      </c>
      <c r="AE50" s="435">
        <f t="shared" si="1"/>
        <v>0</v>
      </c>
      <c r="AF50" s="435">
        <f t="shared" si="1"/>
        <v>0</v>
      </c>
      <c r="AG50" s="435">
        <f t="shared" si="1"/>
        <v>0</v>
      </c>
      <c r="AH50" s="435">
        <f t="shared" si="1"/>
        <v>0</v>
      </c>
      <c r="AI50" s="435">
        <f t="shared" si="1"/>
        <v>0</v>
      </c>
      <c r="AJ50" s="435">
        <f t="shared" si="1"/>
        <v>0</v>
      </c>
      <c r="AK50" s="435">
        <f t="shared" si="1"/>
        <v>0</v>
      </c>
      <c r="AL50" s="435">
        <f t="shared" si="1"/>
        <v>0</v>
      </c>
      <c r="AM50" s="435">
        <f t="shared" si="1"/>
        <v>0</v>
      </c>
      <c r="AN50" s="435">
        <f t="shared" si="1"/>
        <v>0</v>
      </c>
      <c r="AO50" s="435">
        <f t="shared" si="1"/>
        <v>0</v>
      </c>
      <c r="AP50" s="435">
        <f t="shared" si="1"/>
        <v>0</v>
      </c>
      <c r="AQ50" s="435">
        <f t="shared" si="1"/>
        <v>0</v>
      </c>
      <c r="AR50" s="435">
        <f t="shared" si="1"/>
        <v>0</v>
      </c>
      <c r="AS50" s="435">
        <f>SUM(AS6:AS49)</f>
        <v>0</v>
      </c>
      <c r="AT50" s="435">
        <f t="shared" si="1"/>
        <v>0</v>
      </c>
      <c r="AU50" s="433">
        <f t="shared" si="1"/>
        <v>0</v>
      </c>
    </row>
    <row r="51" spans="1:49" ht="17.25" customHeight="1">
      <c r="A51" s="25"/>
    </row>
    <row r="52" spans="1:49">
      <c r="A52" s="25"/>
    </row>
    <row r="61" spans="1:49">
      <c r="AW61" s="161"/>
    </row>
  </sheetData>
  <sheetProtection password="EA98" sheet="1" formatColumns="0" selectLockedCells="1"/>
  <mergeCells count="4">
    <mergeCell ref="C4:AT4"/>
    <mergeCell ref="C3:AT3"/>
    <mergeCell ref="AF2:AU2"/>
    <mergeCell ref="A1:AT1"/>
  </mergeCells>
  <phoneticPr fontId="30" type="noConversion"/>
  <printOptions horizontalCentered="1" verticalCentered="1"/>
  <pageMargins left="0" right="0" top="0.19685039370078741" bottom="0.15748031496062992" header="0.19685039370078741" footer="0.19685039370078741"/>
  <pageSetup paperSize="9" scale="75" orientation="landscape" horizontalDpi="300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>
    <pageSetUpPr fitToPage="1"/>
  </sheetPr>
  <dimension ref="A1:Y54"/>
  <sheetViews>
    <sheetView showGridLines="0" zoomScaleNormal="10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C7" sqref="C7"/>
    </sheetView>
  </sheetViews>
  <sheetFormatPr defaultColWidth="10.7109375" defaultRowHeight="10.199999999999999"/>
  <cols>
    <col min="1" max="1" width="43.140625" style="91" customWidth="1"/>
    <col min="2" max="2" width="10.7109375" style="100" customWidth="1"/>
    <col min="3" max="14" width="11.140625" style="91" customWidth="1"/>
    <col min="15" max="18" width="9.28515625" style="91" customWidth="1"/>
    <col min="19" max="20" width="11.140625" style="91" customWidth="1"/>
    <col min="21" max="21" width="6.7109375" style="91" hidden="1" customWidth="1"/>
    <col min="22" max="25" width="10.85546875" style="91" customWidth="1"/>
    <col min="26" max="16384" width="10.7109375" style="91"/>
  </cols>
  <sheetData>
    <row r="1" spans="1:25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1442"/>
      <c r="L1" s="1442"/>
      <c r="M1" s="1442"/>
      <c r="N1" s="1442"/>
      <c r="O1" s="1442"/>
      <c r="P1" s="1442"/>
      <c r="Q1" s="1442"/>
      <c r="R1" s="1442"/>
      <c r="S1"/>
      <c r="T1" s="311"/>
    </row>
    <row r="2" spans="1:25" s="5" customFormat="1" ht="30" customHeight="1" thickBot="1">
      <c r="A2" s="310"/>
      <c r="B2" s="2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1443"/>
      <c r="O2" s="1443"/>
      <c r="P2" s="1443"/>
      <c r="Q2" s="1443"/>
      <c r="R2" s="1443"/>
      <c r="S2" s="1443"/>
      <c r="T2" s="1443"/>
    </row>
    <row r="3" spans="1:25" ht="15" customHeight="1" thickBot="1">
      <c r="A3" s="92"/>
      <c r="B3" s="93"/>
      <c r="C3" s="302" t="s">
        <v>286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V3"/>
      <c r="W3"/>
      <c r="X3"/>
      <c r="Y3"/>
    </row>
    <row r="4" spans="1:25" ht="30" customHeight="1" thickTop="1">
      <c r="A4" s="279" t="s">
        <v>172</v>
      </c>
      <c r="B4" s="96" t="s">
        <v>103</v>
      </c>
      <c r="C4" s="1455" t="s">
        <v>512</v>
      </c>
      <c r="D4" s="1456"/>
      <c r="E4" s="1455" t="s">
        <v>513</v>
      </c>
      <c r="F4" s="1456"/>
      <c r="G4" s="1455" t="s">
        <v>514</v>
      </c>
      <c r="H4" s="1456"/>
      <c r="I4" s="1455" t="s">
        <v>84</v>
      </c>
      <c r="J4" s="1456"/>
      <c r="K4" s="1455" t="s">
        <v>85</v>
      </c>
      <c r="L4" s="1456"/>
      <c r="M4" s="1455" t="s">
        <v>866</v>
      </c>
      <c r="N4" s="1456"/>
      <c r="O4" s="1455" t="s">
        <v>638</v>
      </c>
      <c r="P4" s="1456"/>
      <c r="Q4" s="1455" t="s">
        <v>132</v>
      </c>
      <c r="R4" s="1456"/>
      <c r="S4" s="1455" t="s">
        <v>107</v>
      </c>
      <c r="T4" s="1459"/>
      <c r="V4"/>
      <c r="W4"/>
      <c r="X4"/>
      <c r="Y4"/>
    </row>
    <row r="5" spans="1:25">
      <c r="A5" s="879" t="s">
        <v>825</v>
      </c>
      <c r="B5" s="96"/>
      <c r="C5" s="1457" t="s">
        <v>518</v>
      </c>
      <c r="D5" s="1458"/>
      <c r="E5" s="1457" t="s">
        <v>519</v>
      </c>
      <c r="F5" s="1458"/>
      <c r="G5" s="1457" t="s">
        <v>520</v>
      </c>
      <c r="H5" s="1458"/>
      <c r="I5" s="1457" t="s">
        <v>521</v>
      </c>
      <c r="J5" s="1458"/>
      <c r="K5" s="1457" t="s">
        <v>522</v>
      </c>
      <c r="L5" s="1458"/>
      <c r="M5" s="1457" t="s">
        <v>803</v>
      </c>
      <c r="N5" s="1458"/>
      <c r="O5" s="1457" t="s">
        <v>637</v>
      </c>
      <c r="P5" s="1458"/>
      <c r="Q5" s="1457" t="s">
        <v>523</v>
      </c>
      <c r="R5" s="1458"/>
      <c r="S5" s="1457"/>
      <c r="T5" s="1460"/>
      <c r="V5"/>
      <c r="W5"/>
      <c r="X5"/>
      <c r="Y5"/>
    </row>
    <row r="6" spans="1:25" ht="10.8" thickBot="1">
      <c r="A6" s="878"/>
      <c r="B6" s="97"/>
      <c r="C6" s="673" t="s">
        <v>105</v>
      </c>
      <c r="D6" s="674" t="s">
        <v>106</v>
      </c>
      <c r="E6" s="673" t="s">
        <v>105</v>
      </c>
      <c r="F6" s="674" t="s">
        <v>106</v>
      </c>
      <c r="G6" s="673" t="s">
        <v>105</v>
      </c>
      <c r="H6" s="674" t="s">
        <v>106</v>
      </c>
      <c r="I6" s="673" t="s">
        <v>105</v>
      </c>
      <c r="J6" s="674" t="s">
        <v>106</v>
      </c>
      <c r="K6" s="673" t="s">
        <v>105</v>
      </c>
      <c r="L6" s="674" t="s">
        <v>106</v>
      </c>
      <c r="M6" s="673" t="s">
        <v>105</v>
      </c>
      <c r="N6" s="674" t="s">
        <v>106</v>
      </c>
      <c r="O6" s="673" t="s">
        <v>105</v>
      </c>
      <c r="P6" s="674" t="s">
        <v>106</v>
      </c>
      <c r="Q6" s="673" t="s">
        <v>105</v>
      </c>
      <c r="R6" s="674" t="s">
        <v>106</v>
      </c>
      <c r="S6" s="673" t="s">
        <v>105</v>
      </c>
      <c r="T6" s="675" t="s">
        <v>106</v>
      </c>
      <c r="V6"/>
      <c r="W6"/>
      <c r="X6"/>
      <c r="Y6"/>
    </row>
    <row r="7" spans="1:25" ht="12.75" customHeight="1" thickTop="1">
      <c r="A7" s="152" t="str">
        <f>'t1'!A6</f>
        <v>SEGRETARIO A</v>
      </c>
      <c r="B7" s="224" t="str">
        <f>'t1'!B6</f>
        <v>0D0102</v>
      </c>
      <c r="C7" s="227"/>
      <c r="D7" s="231"/>
      <c r="E7" s="227"/>
      <c r="F7" s="231"/>
      <c r="G7" s="227"/>
      <c r="H7" s="231"/>
      <c r="I7" s="227"/>
      <c r="J7" s="231"/>
      <c r="K7" s="526"/>
      <c r="L7" s="226"/>
      <c r="M7" s="227"/>
      <c r="N7" s="231"/>
      <c r="O7" s="232"/>
      <c r="P7" s="231"/>
      <c r="Q7" s="232"/>
      <c r="R7" s="231"/>
      <c r="S7" s="436">
        <f t="shared" ref="S7:S50" si="0">SUM(C7,E7,G7,I7,K7,M7,O7,Q7)</f>
        <v>0</v>
      </c>
      <c r="T7" s="437">
        <f t="shared" ref="T7:T50" si="1">SUM(D7,F7,H7,J7,L7,N7,P7,R7)</f>
        <v>0</v>
      </c>
      <c r="U7" s="869">
        <f>'t1'!N6</f>
        <v>0</v>
      </c>
      <c r="V7"/>
      <c r="W7"/>
      <c r="X7"/>
      <c r="Y7"/>
    </row>
    <row r="8" spans="1:25" ht="12.75" customHeight="1">
      <c r="A8" s="152" t="str">
        <f>'t1'!A7</f>
        <v>SEGRETARIO B</v>
      </c>
      <c r="B8" s="224" t="str">
        <f>'t1'!B7</f>
        <v>0D0103</v>
      </c>
      <c r="C8" s="227"/>
      <c r="D8" s="231"/>
      <c r="E8" s="227"/>
      <c r="F8" s="231"/>
      <c r="G8" s="227"/>
      <c r="H8" s="231"/>
      <c r="I8" s="227"/>
      <c r="J8" s="231"/>
      <c r="K8" s="526"/>
      <c r="L8" s="226"/>
      <c r="M8" s="227"/>
      <c r="N8" s="231"/>
      <c r="O8" s="232"/>
      <c r="P8" s="231"/>
      <c r="Q8" s="232"/>
      <c r="R8" s="231"/>
      <c r="S8" s="436">
        <f t="shared" si="0"/>
        <v>0</v>
      </c>
      <c r="T8" s="437">
        <f t="shared" si="1"/>
        <v>0</v>
      </c>
      <c r="U8" s="869">
        <f>'t1'!N7</f>
        <v>0</v>
      </c>
      <c r="V8"/>
      <c r="W8"/>
      <c r="X8"/>
      <c r="Y8"/>
    </row>
    <row r="9" spans="1:25" ht="12.75" customHeight="1">
      <c r="A9" s="152" t="str">
        <f>'t1'!A8</f>
        <v>SEGRETARIO C</v>
      </c>
      <c r="B9" s="224" t="str">
        <f>'t1'!B8</f>
        <v>0D0485</v>
      </c>
      <c r="C9" s="227"/>
      <c r="D9" s="231"/>
      <c r="E9" s="227"/>
      <c r="F9" s="231"/>
      <c r="G9" s="227"/>
      <c r="H9" s="231"/>
      <c r="I9" s="227"/>
      <c r="J9" s="231"/>
      <c r="K9" s="526"/>
      <c r="L9" s="226"/>
      <c r="M9" s="227"/>
      <c r="N9" s="231"/>
      <c r="O9" s="232"/>
      <c r="P9" s="231"/>
      <c r="Q9" s="232"/>
      <c r="R9" s="231"/>
      <c r="S9" s="436">
        <f t="shared" si="0"/>
        <v>0</v>
      </c>
      <c r="T9" s="437">
        <f t="shared" si="1"/>
        <v>0</v>
      </c>
      <c r="U9" s="869">
        <f>'t1'!N8</f>
        <v>0</v>
      </c>
      <c r="V9"/>
      <c r="W9"/>
      <c r="X9"/>
      <c r="Y9"/>
    </row>
    <row r="10" spans="1:25" ht="12.75" customHeight="1">
      <c r="A10" s="152" t="str">
        <f>'t1'!A9</f>
        <v>SEGRETARIO GENERALE CCIAA</v>
      </c>
      <c r="B10" s="224" t="str">
        <f>'t1'!B9</f>
        <v>0D0104</v>
      </c>
      <c r="C10" s="227"/>
      <c r="D10" s="231"/>
      <c r="E10" s="227"/>
      <c r="F10" s="231"/>
      <c r="G10" s="227"/>
      <c r="H10" s="231"/>
      <c r="I10" s="227"/>
      <c r="J10" s="231"/>
      <c r="K10" s="526"/>
      <c r="L10" s="226"/>
      <c r="M10" s="227"/>
      <c r="N10" s="231"/>
      <c r="O10" s="232"/>
      <c r="P10" s="231"/>
      <c r="Q10" s="232"/>
      <c r="R10" s="231"/>
      <c r="S10" s="436">
        <f t="shared" si="0"/>
        <v>0</v>
      </c>
      <c r="T10" s="437">
        <f t="shared" si="1"/>
        <v>0</v>
      </c>
      <c r="U10" s="869">
        <f>'t1'!N9</f>
        <v>0</v>
      </c>
      <c r="V10"/>
      <c r="W10"/>
      <c r="X10"/>
      <c r="Y10"/>
    </row>
    <row r="11" spans="1:25" ht="12.75" customHeight="1">
      <c r="A11" s="152" t="str">
        <f>'t1'!A10</f>
        <v>DIRETTORE  GENERALE</v>
      </c>
      <c r="B11" s="224" t="str">
        <f>'t1'!B10</f>
        <v>0D0097</v>
      </c>
      <c r="C11" s="227"/>
      <c r="D11" s="231"/>
      <c r="E11" s="227"/>
      <c r="F11" s="231"/>
      <c r="G11" s="227"/>
      <c r="H11" s="231"/>
      <c r="I11" s="227"/>
      <c r="J11" s="231"/>
      <c r="K11" s="526"/>
      <c r="L11" s="226"/>
      <c r="M11" s="227"/>
      <c r="N11" s="231"/>
      <c r="O11" s="232"/>
      <c r="P11" s="231"/>
      <c r="Q11" s="232"/>
      <c r="R11" s="231"/>
      <c r="S11" s="436">
        <f t="shared" si="0"/>
        <v>0</v>
      </c>
      <c r="T11" s="437">
        <f t="shared" si="1"/>
        <v>0</v>
      </c>
      <c r="U11" s="869">
        <f>'t1'!N10</f>
        <v>0</v>
      </c>
      <c r="V11"/>
      <c r="W11"/>
      <c r="X11"/>
      <c r="Y11"/>
    </row>
    <row r="12" spans="1:25" ht="12.75" customHeight="1">
      <c r="A12" s="152" t="str">
        <f>'t1'!A11</f>
        <v>DIRIGENTE FUORI D.O. art.110 c.2 TUEL</v>
      </c>
      <c r="B12" s="224" t="str">
        <f>'t1'!B11</f>
        <v>0D0098</v>
      </c>
      <c r="C12" s="227"/>
      <c r="D12" s="231"/>
      <c r="E12" s="227"/>
      <c r="F12" s="231"/>
      <c r="G12" s="227"/>
      <c r="H12" s="231"/>
      <c r="I12" s="227"/>
      <c r="J12" s="231"/>
      <c r="K12" s="526"/>
      <c r="L12" s="226"/>
      <c r="M12" s="227"/>
      <c r="N12" s="231"/>
      <c r="O12" s="232"/>
      <c r="P12" s="231"/>
      <c r="Q12" s="232"/>
      <c r="R12" s="231"/>
      <c r="S12" s="436">
        <f t="shared" si="0"/>
        <v>0</v>
      </c>
      <c r="T12" s="437">
        <f t="shared" si="1"/>
        <v>0</v>
      </c>
      <c r="U12" s="869">
        <f>'t1'!N11</f>
        <v>0</v>
      </c>
      <c r="V12"/>
      <c r="W12"/>
      <c r="X12"/>
      <c r="Y12"/>
    </row>
    <row r="13" spans="1:25" ht="12.75" customHeight="1">
      <c r="A13" s="152" t="str">
        <f>'t1'!A12</f>
        <v>ALTE SPECIALIZZ. FUORI D.O.art.110 c.2 TUEL</v>
      </c>
      <c r="B13" s="224" t="str">
        <f>'t1'!B12</f>
        <v>0D0095</v>
      </c>
      <c r="C13" s="227"/>
      <c r="D13" s="231"/>
      <c r="E13" s="227"/>
      <c r="F13" s="231"/>
      <c r="G13" s="227"/>
      <c r="H13" s="231"/>
      <c r="I13" s="227"/>
      <c r="J13" s="231"/>
      <c r="K13" s="526"/>
      <c r="L13" s="226"/>
      <c r="M13" s="227"/>
      <c r="N13" s="231"/>
      <c r="O13" s="232"/>
      <c r="P13" s="231"/>
      <c r="Q13" s="232"/>
      <c r="R13" s="231"/>
      <c r="S13" s="436">
        <f t="shared" si="0"/>
        <v>0</v>
      </c>
      <c r="T13" s="437">
        <f t="shared" si="1"/>
        <v>0</v>
      </c>
      <c r="U13" s="869">
        <f>'t1'!N12</f>
        <v>0</v>
      </c>
      <c r="V13"/>
      <c r="W13"/>
      <c r="X13"/>
      <c r="Y13"/>
    </row>
    <row r="14" spans="1:25" ht="12.75" customHeight="1">
      <c r="A14" s="152" t="str">
        <f>'t1'!A13</f>
        <v>DIRIGENTE A TEMPO INDETERMINATO</v>
      </c>
      <c r="B14" s="224" t="str">
        <f>'t1'!B13</f>
        <v>0D0164</v>
      </c>
      <c r="C14" s="227"/>
      <c r="D14" s="231"/>
      <c r="E14" s="227"/>
      <c r="F14" s="231"/>
      <c r="G14" s="227"/>
      <c r="H14" s="231"/>
      <c r="I14" s="227"/>
      <c r="J14" s="231"/>
      <c r="K14" s="526"/>
      <c r="L14" s="226"/>
      <c r="M14" s="227"/>
      <c r="N14" s="231"/>
      <c r="O14" s="232"/>
      <c r="P14" s="231"/>
      <c r="Q14" s="232"/>
      <c r="R14" s="231"/>
      <c r="S14" s="436">
        <f t="shared" si="0"/>
        <v>0</v>
      </c>
      <c r="T14" s="437">
        <f t="shared" si="1"/>
        <v>0</v>
      </c>
      <c r="U14" s="869">
        <f>'t1'!N13</f>
        <v>0</v>
      </c>
      <c r="V14"/>
      <c r="W14"/>
      <c r="X14"/>
      <c r="Y14"/>
    </row>
    <row r="15" spans="1:25" ht="12.75" customHeight="1">
      <c r="A15" s="152" t="str">
        <f>'t1'!A14</f>
        <v>DIRIGENTE A TEMPO DET.TO  ART.110 C.1 TUEL</v>
      </c>
      <c r="B15" s="224" t="str">
        <f>'t1'!B14</f>
        <v>0D0165</v>
      </c>
      <c r="C15" s="227"/>
      <c r="D15" s="231"/>
      <c r="E15" s="227"/>
      <c r="F15" s="231"/>
      <c r="G15" s="227"/>
      <c r="H15" s="231"/>
      <c r="I15" s="227"/>
      <c r="J15" s="231"/>
      <c r="K15" s="526"/>
      <c r="L15" s="226"/>
      <c r="M15" s="227"/>
      <c r="N15" s="231"/>
      <c r="O15" s="232"/>
      <c r="P15" s="231"/>
      <c r="Q15" s="232"/>
      <c r="R15" s="231"/>
      <c r="S15" s="436">
        <f t="shared" si="0"/>
        <v>0</v>
      </c>
      <c r="T15" s="437">
        <f t="shared" si="1"/>
        <v>0</v>
      </c>
      <c r="U15" s="869">
        <f>'t1'!N14</f>
        <v>0</v>
      </c>
      <c r="V15"/>
      <c r="W15"/>
      <c r="X15"/>
      <c r="Y15"/>
    </row>
    <row r="16" spans="1:25" ht="12.75" customHeight="1">
      <c r="A16" s="152" t="str">
        <f>'t1'!A15</f>
        <v>ALTE SPECIALIZZ. IN D.O. art.110 c.1 TUEL</v>
      </c>
      <c r="B16" s="224" t="str">
        <f>'t1'!B15</f>
        <v>0D0I95</v>
      </c>
      <c r="C16" s="227"/>
      <c r="D16" s="231"/>
      <c r="E16" s="227"/>
      <c r="F16" s="231"/>
      <c r="G16" s="227"/>
      <c r="H16" s="231"/>
      <c r="I16" s="227"/>
      <c r="J16" s="231"/>
      <c r="K16" s="526"/>
      <c r="L16" s="226"/>
      <c r="M16" s="227"/>
      <c r="N16" s="231"/>
      <c r="O16" s="232"/>
      <c r="P16" s="231"/>
      <c r="Q16" s="232"/>
      <c r="R16" s="231"/>
      <c r="S16" s="436">
        <f t="shared" si="0"/>
        <v>0</v>
      </c>
      <c r="T16" s="437">
        <f t="shared" si="1"/>
        <v>0</v>
      </c>
      <c r="U16" s="869">
        <f>'t1'!N15</f>
        <v>0</v>
      </c>
      <c r="V16"/>
      <c r="W16"/>
      <c r="X16"/>
      <c r="Y16"/>
    </row>
    <row r="17" spans="1:25" ht="12.75" customHeight="1">
      <c r="A17" s="152" t="str">
        <f>'t1'!A16</f>
        <v>POSIZ. ECON. D6 - PROFILI ACCESSO D3</v>
      </c>
      <c r="B17" s="224" t="str">
        <f>'t1'!B16</f>
        <v>0D6A00</v>
      </c>
      <c r="C17" s="227"/>
      <c r="D17" s="231"/>
      <c r="E17" s="227"/>
      <c r="F17" s="231"/>
      <c r="G17" s="227"/>
      <c r="H17" s="231"/>
      <c r="I17" s="227"/>
      <c r="J17" s="231"/>
      <c r="K17" s="526"/>
      <c r="L17" s="226"/>
      <c r="M17" s="227"/>
      <c r="N17" s="231"/>
      <c r="O17" s="232"/>
      <c r="P17" s="231"/>
      <c r="Q17" s="232"/>
      <c r="R17" s="231"/>
      <c r="S17" s="436">
        <f t="shared" si="0"/>
        <v>0</v>
      </c>
      <c r="T17" s="437">
        <f t="shared" si="1"/>
        <v>0</v>
      </c>
      <c r="U17" s="869">
        <f>'t1'!N16</f>
        <v>0</v>
      </c>
      <c r="V17"/>
      <c r="W17"/>
      <c r="X17"/>
      <c r="Y17"/>
    </row>
    <row r="18" spans="1:25" ht="12.75" customHeight="1">
      <c r="A18" s="152" t="str">
        <f>'t1'!A17</f>
        <v>POSIZ. ECON. D6 - PROFILO ACCESSO D1</v>
      </c>
      <c r="B18" s="224" t="str">
        <f>'t1'!B17</f>
        <v>0D6000</v>
      </c>
      <c r="C18" s="227"/>
      <c r="D18" s="231"/>
      <c r="E18" s="227"/>
      <c r="F18" s="231"/>
      <c r="G18" s="227"/>
      <c r="H18" s="231"/>
      <c r="I18" s="227"/>
      <c r="J18" s="231"/>
      <c r="K18" s="526"/>
      <c r="L18" s="226"/>
      <c r="M18" s="227"/>
      <c r="N18" s="231"/>
      <c r="O18" s="232"/>
      <c r="P18" s="231"/>
      <c r="Q18" s="232"/>
      <c r="R18" s="231"/>
      <c r="S18" s="436">
        <f t="shared" si="0"/>
        <v>0</v>
      </c>
      <c r="T18" s="437">
        <f t="shared" si="1"/>
        <v>0</v>
      </c>
      <c r="U18" s="869">
        <f>'t1'!N17</f>
        <v>0</v>
      </c>
      <c r="V18"/>
      <c r="W18"/>
      <c r="X18"/>
      <c r="Y18"/>
    </row>
    <row r="19" spans="1:25" ht="12.75" customHeight="1">
      <c r="A19" s="152" t="str">
        <f>'t1'!A18</f>
        <v>POSIZ. ECON. D5 PROFILI ACCESSO D3</v>
      </c>
      <c r="B19" s="224" t="str">
        <f>'t1'!B18</f>
        <v>052486</v>
      </c>
      <c r="C19" s="227"/>
      <c r="D19" s="231"/>
      <c r="E19" s="227"/>
      <c r="F19" s="231"/>
      <c r="G19" s="227"/>
      <c r="H19" s="231"/>
      <c r="I19" s="227"/>
      <c r="J19" s="231"/>
      <c r="K19" s="526"/>
      <c r="L19" s="226"/>
      <c r="M19" s="227"/>
      <c r="N19" s="231"/>
      <c r="O19" s="232"/>
      <c r="P19" s="231"/>
      <c r="Q19" s="232"/>
      <c r="R19" s="231"/>
      <c r="S19" s="436">
        <f t="shared" si="0"/>
        <v>0</v>
      </c>
      <c r="T19" s="437">
        <f t="shared" si="1"/>
        <v>0</v>
      </c>
      <c r="U19" s="869">
        <f>'t1'!N18</f>
        <v>0</v>
      </c>
      <c r="V19"/>
      <c r="W19"/>
      <c r="X19"/>
      <c r="Y19"/>
    </row>
    <row r="20" spans="1:25" ht="12.75" customHeight="1">
      <c r="A20" s="152" t="str">
        <f>'t1'!A19</f>
        <v>POSIZ. ECON. D5 PROFILI ACCESSO D1</v>
      </c>
      <c r="B20" s="224" t="str">
        <f>'t1'!B19</f>
        <v>052487</v>
      </c>
      <c r="C20" s="227"/>
      <c r="D20" s="231"/>
      <c r="E20" s="227"/>
      <c r="F20" s="231"/>
      <c r="G20" s="227"/>
      <c r="H20" s="231"/>
      <c r="I20" s="227"/>
      <c r="J20" s="231"/>
      <c r="K20" s="526"/>
      <c r="L20" s="226"/>
      <c r="M20" s="227"/>
      <c r="N20" s="231"/>
      <c r="O20" s="232"/>
      <c r="P20" s="231"/>
      <c r="Q20" s="232"/>
      <c r="R20" s="231"/>
      <c r="S20" s="436">
        <f t="shared" si="0"/>
        <v>0</v>
      </c>
      <c r="T20" s="437">
        <f t="shared" si="1"/>
        <v>0</v>
      </c>
      <c r="U20" s="869">
        <f>'t1'!N19</f>
        <v>0</v>
      </c>
      <c r="V20"/>
      <c r="W20"/>
      <c r="X20"/>
      <c r="Y20"/>
    </row>
    <row r="21" spans="1:25" ht="12.75" customHeight="1">
      <c r="A21" s="152" t="str">
        <f>'t1'!A20</f>
        <v>POSIZ. ECON. D4 PROFILI ACCESSO D3</v>
      </c>
      <c r="B21" s="224" t="str">
        <f>'t1'!B20</f>
        <v>051488</v>
      </c>
      <c r="C21" s="227"/>
      <c r="D21" s="231"/>
      <c r="E21" s="227"/>
      <c r="F21" s="231"/>
      <c r="G21" s="227"/>
      <c r="H21" s="231"/>
      <c r="I21" s="227"/>
      <c r="J21" s="231"/>
      <c r="K21" s="526"/>
      <c r="L21" s="226"/>
      <c r="M21" s="227"/>
      <c r="N21" s="231"/>
      <c r="O21" s="232"/>
      <c r="P21" s="231"/>
      <c r="Q21" s="232"/>
      <c r="R21" s="231"/>
      <c r="S21" s="436">
        <f t="shared" si="0"/>
        <v>0</v>
      </c>
      <c r="T21" s="437">
        <f t="shared" si="1"/>
        <v>0</v>
      </c>
      <c r="U21" s="869">
        <f>'t1'!N20</f>
        <v>0</v>
      </c>
      <c r="V21"/>
      <c r="W21"/>
      <c r="X21"/>
      <c r="Y21"/>
    </row>
    <row r="22" spans="1:25" ht="12.75" customHeight="1">
      <c r="A22" s="152" t="str">
        <f>'t1'!A21</f>
        <v>POSIZ. ECON. D4 PROFILI ACCESSO D1</v>
      </c>
      <c r="B22" s="224" t="str">
        <f>'t1'!B21</f>
        <v>051489</v>
      </c>
      <c r="C22" s="227"/>
      <c r="D22" s="231"/>
      <c r="E22" s="227"/>
      <c r="F22" s="231"/>
      <c r="G22" s="227"/>
      <c r="H22" s="231"/>
      <c r="I22" s="227"/>
      <c r="J22" s="231"/>
      <c r="K22" s="526"/>
      <c r="L22" s="226"/>
      <c r="M22" s="227"/>
      <c r="N22" s="231"/>
      <c r="O22" s="232"/>
      <c r="P22" s="231"/>
      <c r="Q22" s="232"/>
      <c r="R22" s="231"/>
      <c r="S22" s="436">
        <f t="shared" si="0"/>
        <v>0</v>
      </c>
      <c r="T22" s="437">
        <f t="shared" si="1"/>
        <v>0</v>
      </c>
      <c r="U22" s="869">
        <f>'t1'!N21</f>
        <v>0</v>
      </c>
      <c r="V22"/>
      <c r="W22"/>
      <c r="X22"/>
      <c r="Y22"/>
    </row>
    <row r="23" spans="1:25" ht="12.75" customHeight="1">
      <c r="A23" s="152" t="str">
        <f>'t1'!A22</f>
        <v>POSIZIONE ECONOMICA DI ACCESSO D3</v>
      </c>
      <c r="B23" s="224" t="str">
        <f>'t1'!B22</f>
        <v>058000</v>
      </c>
      <c r="C23" s="227"/>
      <c r="D23" s="231"/>
      <c r="E23" s="227"/>
      <c r="F23" s="231"/>
      <c r="G23" s="227"/>
      <c r="H23" s="231"/>
      <c r="I23" s="227"/>
      <c r="J23" s="231"/>
      <c r="K23" s="526"/>
      <c r="L23" s="226"/>
      <c r="M23" s="227"/>
      <c r="N23" s="231"/>
      <c r="O23" s="232"/>
      <c r="P23" s="231"/>
      <c r="Q23" s="232"/>
      <c r="R23" s="231"/>
      <c r="S23" s="436">
        <f t="shared" si="0"/>
        <v>0</v>
      </c>
      <c r="T23" s="437">
        <f t="shared" si="1"/>
        <v>0</v>
      </c>
      <c r="U23" s="869">
        <f>'t1'!N22</f>
        <v>0</v>
      </c>
      <c r="V23"/>
      <c r="W23"/>
      <c r="X23"/>
      <c r="Y23"/>
    </row>
    <row r="24" spans="1:25" ht="12.75" customHeight="1">
      <c r="A24" s="152" t="str">
        <f>'t1'!A23</f>
        <v>POSIZIONE ECONOMICA D3</v>
      </c>
      <c r="B24" s="224" t="str">
        <f>'t1'!B23</f>
        <v>050000</v>
      </c>
      <c r="C24" s="227"/>
      <c r="D24" s="231"/>
      <c r="E24" s="227"/>
      <c r="F24" s="231"/>
      <c r="G24" s="227"/>
      <c r="H24" s="231"/>
      <c r="I24" s="227"/>
      <c r="J24" s="231"/>
      <c r="K24" s="526"/>
      <c r="L24" s="226"/>
      <c r="M24" s="227"/>
      <c r="N24" s="231"/>
      <c r="O24" s="232"/>
      <c r="P24" s="231"/>
      <c r="Q24" s="232"/>
      <c r="R24" s="231"/>
      <c r="S24" s="436">
        <f t="shared" si="0"/>
        <v>0</v>
      </c>
      <c r="T24" s="437">
        <f t="shared" si="1"/>
        <v>0</v>
      </c>
      <c r="U24" s="869">
        <f>'t1'!N23</f>
        <v>0</v>
      </c>
      <c r="V24"/>
      <c r="W24"/>
      <c r="X24"/>
      <c r="Y24"/>
    </row>
    <row r="25" spans="1:25" ht="12.75" customHeight="1">
      <c r="A25" s="152" t="str">
        <f>'t1'!A24</f>
        <v>POSIZIONE ECONOMICA D2</v>
      </c>
      <c r="B25" s="224" t="str">
        <f>'t1'!B24</f>
        <v>049000</v>
      </c>
      <c r="C25" s="227"/>
      <c r="D25" s="231"/>
      <c r="E25" s="227"/>
      <c r="F25" s="231">
        <v>1</v>
      </c>
      <c r="G25" s="227"/>
      <c r="H25" s="231"/>
      <c r="I25" s="227"/>
      <c r="J25" s="231">
        <v>1</v>
      </c>
      <c r="K25" s="526"/>
      <c r="L25" s="226"/>
      <c r="M25" s="227"/>
      <c r="N25" s="231"/>
      <c r="O25" s="232"/>
      <c r="P25" s="231"/>
      <c r="Q25" s="232"/>
      <c r="R25" s="231"/>
      <c r="S25" s="436">
        <f t="shared" si="0"/>
        <v>0</v>
      </c>
      <c r="T25" s="437">
        <f t="shared" si="1"/>
        <v>2</v>
      </c>
      <c r="U25" s="869">
        <f>'t1'!N24</f>
        <v>0</v>
      </c>
      <c r="V25"/>
      <c r="W25"/>
      <c r="X25"/>
      <c r="Y25"/>
    </row>
    <row r="26" spans="1:25" ht="12.75" customHeight="1">
      <c r="A26" s="152" t="str">
        <f>'t1'!A25</f>
        <v>POSIZIONE ECONOMICA DI ACCESSO D1</v>
      </c>
      <c r="B26" s="224" t="str">
        <f>'t1'!B25</f>
        <v>057000</v>
      </c>
      <c r="C26" s="227"/>
      <c r="D26" s="231"/>
      <c r="E26" s="227"/>
      <c r="F26" s="231"/>
      <c r="G26" s="227"/>
      <c r="H26" s="231"/>
      <c r="I26" s="227"/>
      <c r="J26" s="231"/>
      <c r="K26" s="526"/>
      <c r="L26" s="226"/>
      <c r="M26" s="227"/>
      <c r="N26" s="231"/>
      <c r="O26" s="232"/>
      <c r="P26" s="231"/>
      <c r="Q26" s="232"/>
      <c r="R26" s="231"/>
      <c r="S26" s="436">
        <f t="shared" si="0"/>
        <v>0</v>
      </c>
      <c r="T26" s="437">
        <f t="shared" si="1"/>
        <v>0</v>
      </c>
      <c r="U26" s="869">
        <f>'t1'!N25</f>
        <v>1</v>
      </c>
      <c r="V26"/>
      <c r="W26"/>
      <c r="X26"/>
      <c r="Y26"/>
    </row>
    <row r="27" spans="1:25" ht="12.75" customHeight="1">
      <c r="A27" s="152" t="str">
        <f>'t1'!A26</f>
        <v>POSIZIONE ECONOMICA C5</v>
      </c>
      <c r="B27" s="224" t="str">
        <f>'t1'!B26</f>
        <v>046000</v>
      </c>
      <c r="C27" s="227"/>
      <c r="D27" s="231"/>
      <c r="E27" s="227"/>
      <c r="F27" s="231"/>
      <c r="G27" s="227"/>
      <c r="H27" s="231"/>
      <c r="I27" s="227"/>
      <c r="J27" s="231"/>
      <c r="K27" s="526"/>
      <c r="L27" s="226"/>
      <c r="M27" s="227"/>
      <c r="N27" s="231"/>
      <c r="O27" s="232"/>
      <c r="P27" s="231"/>
      <c r="Q27" s="232"/>
      <c r="R27" s="231"/>
      <c r="S27" s="436">
        <f t="shared" si="0"/>
        <v>0</v>
      </c>
      <c r="T27" s="437">
        <f t="shared" si="1"/>
        <v>0</v>
      </c>
      <c r="U27" s="869">
        <f>'t1'!N26</f>
        <v>0</v>
      </c>
      <c r="V27"/>
      <c r="W27"/>
      <c r="X27"/>
      <c r="Y27"/>
    </row>
    <row r="28" spans="1:25" ht="12.75" customHeight="1">
      <c r="A28" s="152" t="str">
        <f>'t1'!A27</f>
        <v>POSIZIONE ECONOMICA C4</v>
      </c>
      <c r="B28" s="224" t="str">
        <f>'t1'!B27</f>
        <v>045000</v>
      </c>
      <c r="C28" s="227"/>
      <c r="D28" s="231"/>
      <c r="E28" s="227"/>
      <c r="F28" s="231"/>
      <c r="G28" s="227"/>
      <c r="H28" s="231"/>
      <c r="I28" s="227"/>
      <c r="J28" s="231"/>
      <c r="K28" s="526"/>
      <c r="L28" s="226"/>
      <c r="M28" s="227"/>
      <c r="N28" s="231"/>
      <c r="O28" s="232"/>
      <c r="P28" s="231"/>
      <c r="Q28" s="232"/>
      <c r="R28" s="231"/>
      <c r="S28" s="436">
        <f t="shared" si="0"/>
        <v>0</v>
      </c>
      <c r="T28" s="437">
        <f t="shared" si="1"/>
        <v>0</v>
      </c>
      <c r="U28" s="869">
        <f>'t1'!N27</f>
        <v>0</v>
      </c>
      <c r="V28"/>
      <c r="W28"/>
      <c r="X28"/>
      <c r="Y28"/>
    </row>
    <row r="29" spans="1:25" ht="12.75" customHeight="1">
      <c r="A29" s="152" t="str">
        <f>'t1'!A28</f>
        <v>POSIZIONE ECONOMICA C3</v>
      </c>
      <c r="B29" s="224" t="str">
        <f>'t1'!B28</f>
        <v>043000</v>
      </c>
      <c r="C29" s="227"/>
      <c r="D29" s="231"/>
      <c r="E29" s="227"/>
      <c r="F29" s="231"/>
      <c r="G29" s="227"/>
      <c r="H29" s="231"/>
      <c r="I29" s="227"/>
      <c r="J29" s="231"/>
      <c r="K29" s="526"/>
      <c r="L29" s="226"/>
      <c r="M29" s="227"/>
      <c r="N29" s="231"/>
      <c r="O29" s="232"/>
      <c r="P29" s="231"/>
      <c r="Q29" s="232"/>
      <c r="R29" s="231"/>
      <c r="S29" s="436">
        <f t="shared" si="0"/>
        <v>0</v>
      </c>
      <c r="T29" s="437">
        <f t="shared" si="1"/>
        <v>0</v>
      </c>
      <c r="U29" s="869">
        <f>'t1'!N28</f>
        <v>0</v>
      </c>
      <c r="V29"/>
      <c r="W29"/>
      <c r="X29"/>
      <c r="Y29"/>
    </row>
    <row r="30" spans="1:25" ht="12.75" customHeight="1">
      <c r="A30" s="152" t="str">
        <f>'t1'!A29</f>
        <v>POSIZIONE ECONOMICA C2</v>
      </c>
      <c r="B30" s="224" t="str">
        <f>'t1'!B29</f>
        <v>042000</v>
      </c>
      <c r="C30" s="227"/>
      <c r="D30" s="231"/>
      <c r="E30" s="227"/>
      <c r="F30" s="231"/>
      <c r="G30" s="227"/>
      <c r="H30" s="231"/>
      <c r="I30" s="227"/>
      <c r="J30" s="231"/>
      <c r="K30" s="526"/>
      <c r="L30" s="226"/>
      <c r="M30" s="227"/>
      <c r="N30" s="231"/>
      <c r="O30" s="232"/>
      <c r="P30" s="231"/>
      <c r="Q30" s="232"/>
      <c r="R30" s="231"/>
      <c r="S30" s="436">
        <f t="shared" si="0"/>
        <v>0</v>
      </c>
      <c r="T30" s="437">
        <f t="shared" si="1"/>
        <v>0</v>
      </c>
      <c r="U30" s="869">
        <f>'t1'!N29</f>
        <v>1</v>
      </c>
      <c r="V30"/>
      <c r="W30"/>
      <c r="X30"/>
      <c r="Y30"/>
    </row>
    <row r="31" spans="1:25" ht="12.75" customHeight="1">
      <c r="A31" s="152" t="str">
        <f>'t1'!A30</f>
        <v>POSIZIONE ECONOMICA DI ACCESSO C1</v>
      </c>
      <c r="B31" s="224" t="str">
        <f>'t1'!B30</f>
        <v>056000</v>
      </c>
      <c r="C31" s="227"/>
      <c r="D31" s="231"/>
      <c r="E31" s="227"/>
      <c r="F31" s="231"/>
      <c r="G31" s="227"/>
      <c r="H31" s="231"/>
      <c r="I31" s="227"/>
      <c r="J31" s="231">
        <v>2</v>
      </c>
      <c r="K31" s="526"/>
      <c r="L31" s="226"/>
      <c r="M31" s="227"/>
      <c r="N31" s="231"/>
      <c r="O31" s="232"/>
      <c r="P31" s="231"/>
      <c r="Q31" s="232"/>
      <c r="R31" s="231"/>
      <c r="S31" s="436">
        <f t="shared" si="0"/>
        <v>0</v>
      </c>
      <c r="T31" s="437">
        <f t="shared" si="1"/>
        <v>2</v>
      </c>
      <c r="U31" s="869">
        <f>'t1'!N30</f>
        <v>1</v>
      </c>
      <c r="V31"/>
      <c r="W31"/>
      <c r="X31"/>
      <c r="Y31"/>
    </row>
    <row r="32" spans="1:25" ht="12.75" customHeight="1">
      <c r="A32" s="152" t="str">
        <f>'t1'!A31</f>
        <v>POSIZ. ECON. B7 - PROFILO ACCESSO B3</v>
      </c>
      <c r="B32" s="224" t="str">
        <f>'t1'!B31</f>
        <v>0B7A00</v>
      </c>
      <c r="C32" s="227"/>
      <c r="D32" s="231"/>
      <c r="E32" s="227"/>
      <c r="F32" s="231"/>
      <c r="G32" s="227"/>
      <c r="H32" s="231"/>
      <c r="I32" s="227"/>
      <c r="J32" s="231"/>
      <c r="K32" s="526"/>
      <c r="L32" s="226"/>
      <c r="M32" s="227"/>
      <c r="N32" s="231"/>
      <c r="O32" s="232"/>
      <c r="P32" s="231"/>
      <c r="Q32" s="232"/>
      <c r="R32" s="231"/>
      <c r="S32" s="436">
        <f t="shared" si="0"/>
        <v>0</v>
      </c>
      <c r="T32" s="437">
        <f t="shared" si="1"/>
        <v>0</v>
      </c>
      <c r="U32" s="869">
        <f>'t1'!N31</f>
        <v>0</v>
      </c>
      <c r="V32"/>
      <c r="W32"/>
      <c r="X32"/>
      <c r="Y32"/>
    </row>
    <row r="33" spans="1:25" ht="12.75" customHeight="1">
      <c r="A33" s="152" t="str">
        <f>'t1'!A32</f>
        <v>POSIZ. ECON. B7 - PROFILO  ACCESSO B1</v>
      </c>
      <c r="B33" s="224" t="str">
        <f>'t1'!B32</f>
        <v>0B7000</v>
      </c>
      <c r="C33" s="227"/>
      <c r="D33" s="231"/>
      <c r="E33" s="227"/>
      <c r="F33" s="231"/>
      <c r="G33" s="227"/>
      <c r="H33" s="231"/>
      <c r="I33" s="227"/>
      <c r="J33" s="231"/>
      <c r="K33" s="526"/>
      <c r="L33" s="226"/>
      <c r="M33" s="227"/>
      <c r="N33" s="231"/>
      <c r="O33" s="232"/>
      <c r="P33" s="231"/>
      <c r="Q33" s="232"/>
      <c r="R33" s="231"/>
      <c r="S33" s="436">
        <f t="shared" si="0"/>
        <v>0</v>
      </c>
      <c r="T33" s="437">
        <f t="shared" si="1"/>
        <v>0</v>
      </c>
      <c r="U33" s="869">
        <f>'t1'!N32</f>
        <v>0</v>
      </c>
      <c r="V33"/>
      <c r="W33"/>
      <c r="X33"/>
      <c r="Y33"/>
    </row>
    <row r="34" spans="1:25" ht="12.75" customHeight="1">
      <c r="A34" s="152" t="str">
        <f>'t1'!A33</f>
        <v>POSIZ. ECON. B6 PROFILI ACCESSO B3</v>
      </c>
      <c r="B34" s="224" t="str">
        <f>'t1'!B33</f>
        <v>038490</v>
      </c>
      <c r="C34" s="227"/>
      <c r="D34" s="231"/>
      <c r="E34" s="227"/>
      <c r="F34" s="231"/>
      <c r="G34" s="227"/>
      <c r="H34" s="231"/>
      <c r="I34" s="227"/>
      <c r="J34" s="231"/>
      <c r="K34" s="526"/>
      <c r="L34" s="226"/>
      <c r="M34" s="227"/>
      <c r="N34" s="231"/>
      <c r="O34" s="232"/>
      <c r="P34" s="231"/>
      <c r="Q34" s="232"/>
      <c r="R34" s="231"/>
      <c r="S34" s="436">
        <f t="shared" si="0"/>
        <v>0</v>
      </c>
      <c r="T34" s="437">
        <f t="shared" si="1"/>
        <v>0</v>
      </c>
      <c r="U34" s="869">
        <f>'t1'!N33</f>
        <v>0</v>
      </c>
      <c r="V34"/>
      <c r="W34"/>
      <c r="X34"/>
      <c r="Y34"/>
    </row>
    <row r="35" spans="1:25" ht="12.75" customHeight="1">
      <c r="A35" s="152" t="str">
        <f>'t1'!A34</f>
        <v>POSIZ. ECON. B6 PROFILI ACCESSO B1</v>
      </c>
      <c r="B35" s="224" t="str">
        <f>'t1'!B34</f>
        <v>038491</v>
      </c>
      <c r="C35" s="227"/>
      <c r="D35" s="231"/>
      <c r="E35" s="227"/>
      <c r="F35" s="231"/>
      <c r="G35" s="227"/>
      <c r="H35" s="231"/>
      <c r="I35" s="227"/>
      <c r="J35" s="231"/>
      <c r="K35" s="526"/>
      <c r="L35" s="226"/>
      <c r="M35" s="227"/>
      <c r="N35" s="231"/>
      <c r="O35" s="232"/>
      <c r="P35" s="231"/>
      <c r="Q35" s="232"/>
      <c r="R35" s="231"/>
      <c r="S35" s="436">
        <f t="shared" si="0"/>
        <v>0</v>
      </c>
      <c r="T35" s="437">
        <f t="shared" si="1"/>
        <v>0</v>
      </c>
      <c r="U35" s="869">
        <f>'t1'!N34</f>
        <v>0</v>
      </c>
      <c r="V35"/>
      <c r="W35"/>
      <c r="X35"/>
      <c r="Y35"/>
    </row>
    <row r="36" spans="1:25" ht="12.75" customHeight="1">
      <c r="A36" s="152" t="str">
        <f>'t1'!A35</f>
        <v>POSIZ. ECON. B5 PROFILI ACCESSO B3</v>
      </c>
      <c r="B36" s="224" t="str">
        <f>'t1'!B35</f>
        <v>037492</v>
      </c>
      <c r="C36" s="227"/>
      <c r="D36" s="231"/>
      <c r="E36" s="227"/>
      <c r="F36" s="231"/>
      <c r="G36" s="227"/>
      <c r="H36" s="231"/>
      <c r="I36" s="227"/>
      <c r="J36" s="231"/>
      <c r="K36" s="526"/>
      <c r="L36" s="226"/>
      <c r="M36" s="227"/>
      <c r="N36" s="231"/>
      <c r="O36" s="232"/>
      <c r="P36" s="231"/>
      <c r="Q36" s="232"/>
      <c r="R36" s="231"/>
      <c r="S36" s="436">
        <f t="shared" si="0"/>
        <v>0</v>
      </c>
      <c r="T36" s="437">
        <f t="shared" si="1"/>
        <v>0</v>
      </c>
      <c r="U36" s="869">
        <f>'t1'!N35</f>
        <v>0</v>
      </c>
      <c r="V36"/>
      <c r="W36"/>
      <c r="X36"/>
      <c r="Y36"/>
    </row>
    <row r="37" spans="1:25" ht="12.75" customHeight="1">
      <c r="A37" s="152" t="str">
        <f>'t1'!A36</f>
        <v>POSIZ. ECON. B5 PROFILI ACCESSO B1</v>
      </c>
      <c r="B37" s="224" t="str">
        <f>'t1'!B36</f>
        <v>037493</v>
      </c>
      <c r="C37" s="227"/>
      <c r="D37" s="231"/>
      <c r="E37" s="227"/>
      <c r="F37" s="231"/>
      <c r="G37" s="227"/>
      <c r="H37" s="231"/>
      <c r="I37" s="227"/>
      <c r="J37" s="231"/>
      <c r="K37" s="526"/>
      <c r="L37" s="226"/>
      <c r="M37" s="227"/>
      <c r="N37" s="231"/>
      <c r="O37" s="232"/>
      <c r="P37" s="231"/>
      <c r="Q37" s="232"/>
      <c r="R37" s="231"/>
      <c r="S37" s="436">
        <f t="shared" si="0"/>
        <v>0</v>
      </c>
      <c r="T37" s="437">
        <f t="shared" si="1"/>
        <v>0</v>
      </c>
      <c r="U37" s="869">
        <f>'t1'!N36</f>
        <v>0</v>
      </c>
      <c r="V37"/>
      <c r="W37"/>
      <c r="X37"/>
      <c r="Y37"/>
    </row>
    <row r="38" spans="1:25" ht="12.75" customHeight="1">
      <c r="A38" s="152" t="str">
        <f>'t1'!A37</f>
        <v>POSIZ. ECON. B4 PROFILI ACCESSO B3</v>
      </c>
      <c r="B38" s="224" t="str">
        <f>'t1'!B37</f>
        <v>036494</v>
      </c>
      <c r="C38" s="227"/>
      <c r="D38" s="231"/>
      <c r="E38" s="227"/>
      <c r="F38" s="231"/>
      <c r="G38" s="227"/>
      <c r="H38" s="231"/>
      <c r="I38" s="227"/>
      <c r="J38" s="231"/>
      <c r="K38" s="526"/>
      <c r="L38" s="226"/>
      <c r="M38" s="227"/>
      <c r="N38" s="231"/>
      <c r="O38" s="232"/>
      <c r="P38" s="231"/>
      <c r="Q38" s="232"/>
      <c r="R38" s="231"/>
      <c r="S38" s="436">
        <f t="shared" si="0"/>
        <v>0</v>
      </c>
      <c r="T38" s="437">
        <f t="shared" si="1"/>
        <v>0</v>
      </c>
      <c r="U38" s="869">
        <f>'t1'!N37</f>
        <v>0</v>
      </c>
      <c r="V38"/>
      <c r="W38"/>
      <c r="X38"/>
      <c r="Y38"/>
    </row>
    <row r="39" spans="1:25" ht="12.75" customHeight="1">
      <c r="A39" s="152" t="str">
        <f>'t1'!A38</f>
        <v>POSIZ. ECON. B4 PROFILI ACCESSO B1</v>
      </c>
      <c r="B39" s="224" t="str">
        <f>'t1'!B38</f>
        <v>036495</v>
      </c>
      <c r="C39" s="227"/>
      <c r="D39" s="231"/>
      <c r="E39" s="227"/>
      <c r="F39" s="231"/>
      <c r="G39" s="227"/>
      <c r="H39" s="231"/>
      <c r="I39" s="227"/>
      <c r="J39" s="231"/>
      <c r="K39" s="526"/>
      <c r="L39" s="226"/>
      <c r="M39" s="227"/>
      <c r="N39" s="231"/>
      <c r="O39" s="232"/>
      <c r="P39" s="231"/>
      <c r="Q39" s="232"/>
      <c r="R39" s="231"/>
      <c r="S39" s="436">
        <f t="shared" si="0"/>
        <v>0</v>
      </c>
      <c r="T39" s="437">
        <f t="shared" si="1"/>
        <v>0</v>
      </c>
      <c r="U39" s="869">
        <f>'t1'!N38</f>
        <v>0</v>
      </c>
      <c r="V39"/>
      <c r="W39"/>
      <c r="X39"/>
      <c r="Y39"/>
    </row>
    <row r="40" spans="1:25" ht="12.75" customHeight="1">
      <c r="A40" s="152" t="str">
        <f>'t1'!A39</f>
        <v>POSIZIONE ECONOMICA DI ACCESSO B3</v>
      </c>
      <c r="B40" s="224" t="str">
        <f>'t1'!B39</f>
        <v>055000</v>
      </c>
      <c r="C40" s="227"/>
      <c r="D40" s="231"/>
      <c r="E40" s="227"/>
      <c r="F40" s="231"/>
      <c r="G40" s="227"/>
      <c r="H40" s="231"/>
      <c r="I40" s="227"/>
      <c r="J40" s="231"/>
      <c r="K40" s="526"/>
      <c r="L40" s="226"/>
      <c r="M40" s="227"/>
      <c r="N40" s="231"/>
      <c r="O40" s="232"/>
      <c r="P40" s="231"/>
      <c r="Q40" s="232"/>
      <c r="R40" s="231"/>
      <c r="S40" s="436">
        <f t="shared" si="0"/>
        <v>0</v>
      </c>
      <c r="T40" s="437">
        <f t="shared" si="1"/>
        <v>0</v>
      </c>
      <c r="U40" s="869">
        <f>'t1'!N39</f>
        <v>0</v>
      </c>
      <c r="V40"/>
      <c r="W40"/>
      <c r="X40"/>
      <c r="Y40"/>
    </row>
    <row r="41" spans="1:25" ht="12.75" customHeight="1">
      <c r="A41" s="152" t="str">
        <f>'t1'!A40</f>
        <v>POSIZIONE ECONOMICA B3</v>
      </c>
      <c r="B41" s="224" t="str">
        <f>'t1'!B40</f>
        <v>034000</v>
      </c>
      <c r="C41" s="227"/>
      <c r="D41" s="231"/>
      <c r="E41" s="227"/>
      <c r="F41" s="231"/>
      <c r="G41" s="227"/>
      <c r="H41" s="231"/>
      <c r="I41" s="227"/>
      <c r="J41" s="231"/>
      <c r="K41" s="526"/>
      <c r="L41" s="226"/>
      <c r="M41" s="227"/>
      <c r="N41" s="231"/>
      <c r="O41" s="232"/>
      <c r="P41" s="231"/>
      <c r="Q41" s="232"/>
      <c r="R41" s="231"/>
      <c r="S41" s="436">
        <f t="shared" si="0"/>
        <v>0</v>
      </c>
      <c r="T41" s="437">
        <f t="shared" si="1"/>
        <v>0</v>
      </c>
      <c r="U41" s="869">
        <f>'t1'!N40</f>
        <v>0</v>
      </c>
      <c r="V41"/>
      <c r="W41"/>
      <c r="X41"/>
      <c r="Y41"/>
    </row>
    <row r="42" spans="1:25" ht="12.75" customHeight="1">
      <c r="A42" s="152" t="str">
        <f>'t1'!A41</f>
        <v>POSIZIONE ECONOMICA B2</v>
      </c>
      <c r="B42" s="224" t="str">
        <f>'t1'!B41</f>
        <v>032000</v>
      </c>
      <c r="C42" s="227"/>
      <c r="D42" s="231"/>
      <c r="E42" s="227"/>
      <c r="F42" s="231"/>
      <c r="G42" s="227"/>
      <c r="H42" s="231"/>
      <c r="I42" s="227"/>
      <c r="J42" s="231"/>
      <c r="K42" s="526"/>
      <c r="L42" s="226"/>
      <c r="M42" s="227"/>
      <c r="N42" s="231"/>
      <c r="O42" s="232"/>
      <c r="P42" s="231"/>
      <c r="Q42" s="232"/>
      <c r="R42" s="231"/>
      <c r="S42" s="436">
        <f t="shared" si="0"/>
        <v>0</v>
      </c>
      <c r="T42" s="437">
        <f t="shared" si="1"/>
        <v>0</v>
      </c>
      <c r="U42" s="869">
        <f>'t1'!N41</f>
        <v>0</v>
      </c>
      <c r="V42"/>
      <c r="W42"/>
      <c r="X42"/>
      <c r="Y42"/>
    </row>
    <row r="43" spans="1:25" ht="12.75" customHeight="1">
      <c r="A43" s="152" t="str">
        <f>'t1'!A42</f>
        <v>POSIZIONE ECONOMICA DI ACCESSO B1</v>
      </c>
      <c r="B43" s="224" t="str">
        <f>'t1'!B42</f>
        <v>054000</v>
      </c>
      <c r="C43" s="227"/>
      <c r="D43" s="231"/>
      <c r="E43" s="227"/>
      <c r="F43" s="231"/>
      <c r="G43" s="227"/>
      <c r="H43" s="231"/>
      <c r="I43" s="227"/>
      <c r="J43" s="231"/>
      <c r="K43" s="526"/>
      <c r="L43" s="226"/>
      <c r="M43" s="227"/>
      <c r="N43" s="231"/>
      <c r="O43" s="232"/>
      <c r="P43" s="231"/>
      <c r="Q43" s="232"/>
      <c r="R43" s="231"/>
      <c r="S43" s="436">
        <f t="shared" si="0"/>
        <v>0</v>
      </c>
      <c r="T43" s="437">
        <f t="shared" si="1"/>
        <v>0</v>
      </c>
      <c r="U43" s="869">
        <f>'t1'!N42</f>
        <v>0</v>
      </c>
      <c r="V43"/>
      <c r="W43"/>
      <c r="X43"/>
      <c r="Y43"/>
    </row>
    <row r="44" spans="1:25" ht="12.75" customHeight="1">
      <c r="A44" s="152" t="str">
        <f>'t1'!A43</f>
        <v>POSIZIONE ECONOMICA A5</v>
      </c>
      <c r="B44" s="224" t="str">
        <f>'t1'!B43</f>
        <v>0A5000</v>
      </c>
      <c r="C44" s="227"/>
      <c r="D44" s="231"/>
      <c r="E44" s="227"/>
      <c r="F44" s="231"/>
      <c r="G44" s="227"/>
      <c r="H44" s="231"/>
      <c r="I44" s="227"/>
      <c r="J44" s="231"/>
      <c r="K44" s="526"/>
      <c r="L44" s="226"/>
      <c r="M44" s="227"/>
      <c r="N44" s="231"/>
      <c r="O44" s="232"/>
      <c r="P44" s="231"/>
      <c r="Q44" s="232"/>
      <c r="R44" s="231"/>
      <c r="S44" s="436">
        <f t="shared" si="0"/>
        <v>0</v>
      </c>
      <c r="T44" s="437">
        <f t="shared" si="1"/>
        <v>0</v>
      </c>
      <c r="U44" s="869">
        <f>'t1'!N43</f>
        <v>0</v>
      </c>
      <c r="V44"/>
      <c r="W44"/>
      <c r="X44"/>
      <c r="Y44"/>
    </row>
    <row r="45" spans="1:25" ht="12.75" customHeight="1">
      <c r="A45" s="152" t="str">
        <f>'t1'!A44</f>
        <v>POSIZIONE ECONOMICA A4</v>
      </c>
      <c r="B45" s="224" t="str">
        <f>'t1'!B44</f>
        <v>028000</v>
      </c>
      <c r="C45" s="227"/>
      <c r="D45" s="231"/>
      <c r="E45" s="227"/>
      <c r="F45" s="231"/>
      <c r="G45" s="227"/>
      <c r="H45" s="231"/>
      <c r="I45" s="227"/>
      <c r="J45" s="231"/>
      <c r="K45" s="526"/>
      <c r="L45" s="226"/>
      <c r="M45" s="227"/>
      <c r="N45" s="231"/>
      <c r="O45" s="232"/>
      <c r="P45" s="231"/>
      <c r="Q45" s="232"/>
      <c r="R45" s="231"/>
      <c r="S45" s="436">
        <f t="shared" si="0"/>
        <v>0</v>
      </c>
      <c r="T45" s="437">
        <f t="shared" si="1"/>
        <v>0</v>
      </c>
      <c r="U45" s="869">
        <f>'t1'!N44</f>
        <v>0</v>
      </c>
      <c r="V45"/>
      <c r="W45"/>
      <c r="X45"/>
      <c r="Y45"/>
    </row>
    <row r="46" spans="1:25" ht="12.75" customHeight="1">
      <c r="A46" s="152" t="str">
        <f>'t1'!A45</f>
        <v>POSIZIONE ECONOMICA A3</v>
      </c>
      <c r="B46" s="224" t="str">
        <f>'t1'!B45</f>
        <v>027000</v>
      </c>
      <c r="C46" s="227"/>
      <c r="D46" s="231"/>
      <c r="E46" s="227"/>
      <c r="F46" s="231"/>
      <c r="G46" s="227"/>
      <c r="H46" s="231"/>
      <c r="I46" s="227"/>
      <c r="J46" s="231"/>
      <c r="K46" s="526"/>
      <c r="L46" s="226"/>
      <c r="M46" s="227"/>
      <c r="N46" s="231"/>
      <c r="O46" s="232"/>
      <c r="P46" s="231"/>
      <c r="Q46" s="232"/>
      <c r="R46" s="231"/>
      <c r="S46" s="436">
        <f t="shared" si="0"/>
        <v>0</v>
      </c>
      <c r="T46" s="437">
        <f t="shared" si="1"/>
        <v>0</v>
      </c>
      <c r="U46" s="869">
        <f>'t1'!N45</f>
        <v>0</v>
      </c>
      <c r="V46"/>
      <c r="W46"/>
      <c r="X46"/>
      <c r="Y46"/>
    </row>
    <row r="47" spans="1:25" ht="12.75" customHeight="1">
      <c r="A47" s="152" t="str">
        <f>'t1'!A46</f>
        <v>POSIZIONE ECONOMICA A2</v>
      </c>
      <c r="B47" s="224" t="str">
        <f>'t1'!B46</f>
        <v>025000</v>
      </c>
      <c r="C47" s="227"/>
      <c r="D47" s="231"/>
      <c r="E47" s="227"/>
      <c r="F47" s="231"/>
      <c r="G47" s="227"/>
      <c r="H47" s="231"/>
      <c r="I47" s="227"/>
      <c r="J47" s="231"/>
      <c r="K47" s="526"/>
      <c r="L47" s="226"/>
      <c r="M47" s="227"/>
      <c r="N47" s="231"/>
      <c r="O47" s="232"/>
      <c r="P47" s="231"/>
      <c r="Q47" s="232"/>
      <c r="R47" s="231"/>
      <c r="S47" s="436">
        <f t="shared" si="0"/>
        <v>0</v>
      </c>
      <c r="T47" s="437">
        <f t="shared" si="1"/>
        <v>0</v>
      </c>
      <c r="U47" s="869">
        <f>'t1'!N46</f>
        <v>0</v>
      </c>
      <c r="V47"/>
      <c r="W47"/>
      <c r="X47"/>
      <c r="Y47"/>
    </row>
    <row r="48" spans="1:25" ht="12.75" customHeight="1">
      <c r="A48" s="152" t="str">
        <f>'t1'!A47</f>
        <v>POSIZIONE ECONOMICA DI ACCESSO A1</v>
      </c>
      <c r="B48" s="224" t="str">
        <f>'t1'!B47</f>
        <v>053000</v>
      </c>
      <c r="C48" s="227"/>
      <c r="D48" s="231"/>
      <c r="E48" s="227"/>
      <c r="F48" s="231"/>
      <c r="G48" s="227"/>
      <c r="H48" s="231"/>
      <c r="I48" s="227"/>
      <c r="J48" s="231"/>
      <c r="K48" s="526"/>
      <c r="L48" s="226"/>
      <c r="M48" s="227"/>
      <c r="N48" s="231"/>
      <c r="O48" s="232"/>
      <c r="P48" s="231"/>
      <c r="Q48" s="232"/>
      <c r="R48" s="231"/>
      <c r="S48" s="436">
        <f t="shared" si="0"/>
        <v>0</v>
      </c>
      <c r="T48" s="437">
        <f t="shared" si="1"/>
        <v>0</v>
      </c>
      <c r="U48" s="869">
        <f>'t1'!N47</f>
        <v>0</v>
      </c>
      <c r="V48"/>
      <c r="W48"/>
      <c r="X48"/>
      <c r="Y48"/>
    </row>
    <row r="49" spans="1:25" ht="12.75" customHeight="1">
      <c r="A49" s="152" t="str">
        <f>'t1'!A48</f>
        <v>CONTRATTISTI (a)</v>
      </c>
      <c r="B49" s="224" t="str">
        <f>'t1'!B48</f>
        <v>000061</v>
      </c>
      <c r="C49" s="227"/>
      <c r="D49" s="231"/>
      <c r="E49" s="227"/>
      <c r="F49" s="231"/>
      <c r="G49" s="227"/>
      <c r="H49" s="231"/>
      <c r="I49" s="227"/>
      <c r="J49" s="231"/>
      <c r="K49" s="526"/>
      <c r="L49" s="226"/>
      <c r="M49" s="227"/>
      <c r="N49" s="231"/>
      <c r="O49" s="232"/>
      <c r="P49" s="231"/>
      <c r="Q49" s="232"/>
      <c r="R49" s="231"/>
      <c r="S49" s="436">
        <f t="shared" si="0"/>
        <v>0</v>
      </c>
      <c r="T49" s="437">
        <f t="shared" si="1"/>
        <v>0</v>
      </c>
      <c r="U49" s="869">
        <f>'t1'!N48</f>
        <v>0</v>
      </c>
      <c r="V49"/>
      <c r="W49"/>
      <c r="X49"/>
      <c r="Y49"/>
    </row>
    <row r="50" spans="1:25" ht="12.75" customHeight="1" thickBot="1">
      <c r="A50" s="152" t="str">
        <f>'t1'!A49</f>
        <v>COLLABORATORE A T.D. ART. 90 TUEL (b)</v>
      </c>
      <c r="B50" s="224" t="str">
        <f>'t1'!B49</f>
        <v>000096</v>
      </c>
      <c r="C50" s="227"/>
      <c r="D50" s="231"/>
      <c r="E50" s="227"/>
      <c r="F50" s="231"/>
      <c r="G50" s="227"/>
      <c r="H50" s="231"/>
      <c r="I50" s="227"/>
      <c r="J50" s="231"/>
      <c r="K50" s="526"/>
      <c r="L50" s="226"/>
      <c r="M50" s="227"/>
      <c r="N50" s="231"/>
      <c r="O50" s="232"/>
      <c r="P50" s="231"/>
      <c r="Q50" s="232"/>
      <c r="R50" s="231"/>
      <c r="S50" s="436">
        <f t="shared" si="0"/>
        <v>0</v>
      </c>
      <c r="T50" s="437">
        <f t="shared" si="1"/>
        <v>0</v>
      </c>
      <c r="U50" s="869">
        <f>'t1'!N49</f>
        <v>0</v>
      </c>
      <c r="V50"/>
      <c r="W50"/>
      <c r="X50"/>
      <c r="Y50"/>
    </row>
    <row r="51" spans="1:25" ht="13.5" customHeight="1" thickTop="1" thickBot="1">
      <c r="A51" s="295" t="s">
        <v>107</v>
      </c>
      <c r="B51" s="99"/>
      <c r="C51" s="438">
        <f t="shared" ref="C51:T51" si="2">SUM(C7:C50)</f>
        <v>0</v>
      </c>
      <c r="D51" s="439">
        <f t="shared" si="2"/>
        <v>0</v>
      </c>
      <c r="E51" s="438">
        <f t="shared" si="2"/>
        <v>0</v>
      </c>
      <c r="F51" s="439">
        <f t="shared" si="2"/>
        <v>1</v>
      </c>
      <c r="G51" s="438">
        <f>SUM(G7:G50)</f>
        <v>0</v>
      </c>
      <c r="H51" s="439">
        <f>SUM(H7:H50)</f>
        <v>0</v>
      </c>
      <c r="I51" s="438">
        <f t="shared" si="2"/>
        <v>0</v>
      </c>
      <c r="J51" s="439">
        <f t="shared" si="2"/>
        <v>3</v>
      </c>
      <c r="K51" s="438">
        <f>SUM(K7:K50)</f>
        <v>0</v>
      </c>
      <c r="L51" s="525">
        <f>SUM(L7:L50)</f>
        <v>0</v>
      </c>
      <c r="M51" s="438">
        <f t="shared" si="2"/>
        <v>0</v>
      </c>
      <c r="N51" s="439">
        <f t="shared" si="2"/>
        <v>0</v>
      </c>
      <c r="O51" s="438">
        <f>SUM(O7:O50)</f>
        <v>0</v>
      </c>
      <c r="P51" s="439">
        <f>SUM(P7:P50)</f>
        <v>0</v>
      </c>
      <c r="Q51" s="438">
        <f t="shared" si="2"/>
        <v>0</v>
      </c>
      <c r="R51" s="439">
        <f t="shared" si="2"/>
        <v>0</v>
      </c>
      <c r="S51" s="438">
        <f t="shared" si="2"/>
        <v>0</v>
      </c>
      <c r="T51" s="535">
        <f t="shared" si="2"/>
        <v>4</v>
      </c>
      <c r="V51"/>
      <c r="W51"/>
      <c r="X51"/>
      <c r="Y51"/>
    </row>
    <row r="52" spans="1:25" ht="18.75" customHeight="1">
      <c r="A52" s="91" t="s">
        <v>134</v>
      </c>
    </row>
    <row r="53" spans="1:25">
      <c r="A53" s="25" t="str">
        <f>'t1'!$A$201</f>
        <v>(a) personale a tempo indeterminato al quale viene applicato un contratto di lavoro di tipo privatistico (es.:tipografico,chimico,edile,metalmeccanico,portierato, ecc.)</v>
      </c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25">
      <c r="A54" s="25" t="str">
        <f>'t1'!$A$202</f>
        <v>(b) cfr." istruzioni generali e specifiche di comparto" e "glossario"</v>
      </c>
    </row>
  </sheetData>
  <sheetProtection password="EA98" sheet="1" formatColumns="0" selectLockedCells="1"/>
  <mergeCells count="20">
    <mergeCell ref="M4:N4"/>
    <mergeCell ref="M5:N5"/>
    <mergeCell ref="K4:L4"/>
    <mergeCell ref="Q5:R5"/>
    <mergeCell ref="C4:D4"/>
    <mergeCell ref="E4:F4"/>
    <mergeCell ref="I4:J4"/>
    <mergeCell ref="Q4:R4"/>
    <mergeCell ref="O4:P4"/>
    <mergeCell ref="O5:P5"/>
    <mergeCell ref="N2:T2"/>
    <mergeCell ref="A1:R1"/>
    <mergeCell ref="G4:H4"/>
    <mergeCell ref="C5:D5"/>
    <mergeCell ref="E5:F5"/>
    <mergeCell ref="G5:H5"/>
    <mergeCell ref="I5:J5"/>
    <mergeCell ref="S4:T4"/>
    <mergeCell ref="K5:L5"/>
    <mergeCell ref="S5:T5"/>
  </mergeCells>
  <phoneticPr fontId="30" type="noConversion"/>
  <conditionalFormatting sqref="A7:T50">
    <cfRule type="expression" dxfId="13" priority="1" stopIfTrue="1">
      <formula>$U7&gt;0</formula>
    </cfRule>
  </conditionalFormatting>
  <printOptions horizontalCentered="1" verticalCentered="1"/>
  <pageMargins left="0" right="0" top="0.17" bottom="0.17" header="0.19" footer="0.19"/>
  <pageSetup paperSize="9" scale="7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>
    <pageSetUpPr fitToPage="1"/>
  </sheetPr>
  <dimension ref="A1:W55"/>
  <sheetViews>
    <sheetView showGridLines="0" zoomScaleNormal="10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C7" sqref="C7"/>
    </sheetView>
  </sheetViews>
  <sheetFormatPr defaultColWidth="10.7109375" defaultRowHeight="10.199999999999999"/>
  <cols>
    <col min="1" max="1" width="43" style="80" customWidth="1"/>
    <col min="2" max="2" width="10.7109375" style="90" customWidth="1"/>
    <col min="3" max="8" width="10.85546875" style="80" customWidth="1"/>
    <col min="9" max="12" width="11.140625" style="80" customWidth="1"/>
    <col min="13" max="20" width="10.28515625" style="80" customWidth="1"/>
    <col min="21" max="22" width="10.85546875" style="80" customWidth="1"/>
    <col min="23" max="23" width="5.85546875" style="80" hidden="1" customWidth="1"/>
    <col min="24" max="16384" width="10.7109375" style="80"/>
  </cols>
  <sheetData>
    <row r="1" spans="1:23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1442"/>
      <c r="L1" s="1442"/>
      <c r="M1" s="1442"/>
      <c r="N1" s="1442"/>
      <c r="O1" s="1442"/>
      <c r="P1" s="1442"/>
      <c r="Q1" s="342"/>
      <c r="R1" s="342"/>
      <c r="S1" s="342"/>
      <c r="T1" s="342"/>
      <c r="U1" s="3"/>
      <c r="V1" s="311"/>
      <c r="W1"/>
    </row>
    <row r="2" spans="1:23" ht="30" customHeight="1" thickBot="1">
      <c r="A2" s="76"/>
      <c r="B2" s="77"/>
      <c r="C2" s="78"/>
      <c r="D2" s="79"/>
      <c r="E2" s="79"/>
      <c r="F2" s="79"/>
      <c r="G2" s="78"/>
      <c r="H2" s="78"/>
      <c r="I2" s="78"/>
      <c r="J2" s="1443"/>
      <c r="K2" s="1443"/>
      <c r="L2" s="1443"/>
      <c r="M2" s="1443"/>
      <c r="N2" s="1443"/>
      <c r="O2" s="1443"/>
      <c r="P2" s="1443"/>
      <c r="Q2" s="1443"/>
      <c r="R2" s="1443"/>
      <c r="S2" s="1443"/>
      <c r="T2" s="1443"/>
      <c r="U2" s="1443"/>
      <c r="V2" s="1443"/>
    </row>
    <row r="3" spans="1:23" ht="15" customHeight="1" thickBot="1">
      <c r="A3" s="81"/>
      <c r="B3" s="82"/>
      <c r="C3" s="83" t="s">
        <v>287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</row>
    <row r="4" spans="1:23" ht="37.5" customHeight="1" thickTop="1">
      <c r="A4" s="278" t="s">
        <v>177</v>
      </c>
      <c r="B4" s="86" t="s">
        <v>103</v>
      </c>
      <c r="C4" s="1465" t="s">
        <v>517</v>
      </c>
      <c r="D4" s="1445"/>
      <c r="E4" s="1465" t="s">
        <v>132</v>
      </c>
      <c r="F4" s="1445"/>
      <c r="G4" s="1463" t="s">
        <v>86</v>
      </c>
      <c r="H4" s="1464"/>
      <c r="I4" s="1463" t="s">
        <v>464</v>
      </c>
      <c r="J4" s="1464"/>
      <c r="K4" s="1463" t="s">
        <v>465</v>
      </c>
      <c r="L4" s="1464"/>
      <c r="M4" s="1463" t="s">
        <v>467</v>
      </c>
      <c r="N4" s="1464"/>
      <c r="O4" s="1463" t="s">
        <v>468</v>
      </c>
      <c r="P4" s="1467"/>
      <c r="Q4" s="1465" t="s">
        <v>804</v>
      </c>
      <c r="R4" s="1466"/>
      <c r="S4" s="1463" t="s">
        <v>805</v>
      </c>
      <c r="T4" s="1467"/>
      <c r="U4" s="1470" t="s">
        <v>107</v>
      </c>
      <c r="V4" s="1471"/>
    </row>
    <row r="5" spans="1:23">
      <c r="A5" s="879" t="s">
        <v>825</v>
      </c>
      <c r="B5" s="86"/>
      <c r="C5" s="1461" t="s">
        <v>524</v>
      </c>
      <c r="D5" s="1462"/>
      <c r="E5" s="1461" t="s">
        <v>525</v>
      </c>
      <c r="F5" s="1462"/>
      <c r="G5" s="1461" t="s">
        <v>526</v>
      </c>
      <c r="H5" s="1462"/>
      <c r="I5" s="1461" t="s">
        <v>527</v>
      </c>
      <c r="J5" s="1462"/>
      <c r="K5" s="1461" t="s">
        <v>528</v>
      </c>
      <c r="L5" s="1462"/>
      <c r="M5" s="1461" t="s">
        <v>529</v>
      </c>
      <c r="N5" s="1462"/>
      <c r="O5" s="1461" t="s">
        <v>530</v>
      </c>
      <c r="P5" s="1462"/>
      <c r="Q5" s="1461" t="s">
        <v>806</v>
      </c>
      <c r="R5" s="1462"/>
      <c r="S5" s="1461" t="s">
        <v>807</v>
      </c>
      <c r="T5" s="1462"/>
      <c r="U5" s="1468"/>
      <c r="V5" s="1469"/>
    </row>
    <row r="6" spans="1:23" ht="10.8" thickBot="1">
      <c r="A6" s="878"/>
      <c r="B6" s="87"/>
      <c r="C6" s="676" t="s">
        <v>105</v>
      </c>
      <c r="D6" s="677" t="s">
        <v>106</v>
      </c>
      <c r="E6" s="676" t="s">
        <v>105</v>
      </c>
      <c r="F6" s="677" t="s">
        <v>106</v>
      </c>
      <c r="G6" s="676" t="s">
        <v>105</v>
      </c>
      <c r="H6" s="677" t="s">
        <v>106</v>
      </c>
      <c r="I6" s="676" t="s">
        <v>105</v>
      </c>
      <c r="J6" s="677" t="s">
        <v>106</v>
      </c>
      <c r="K6" s="676" t="s">
        <v>105</v>
      </c>
      <c r="L6" s="677" t="s">
        <v>106</v>
      </c>
      <c r="M6" s="676" t="s">
        <v>105</v>
      </c>
      <c r="N6" s="677" t="s">
        <v>106</v>
      </c>
      <c r="O6" s="676" t="s">
        <v>105</v>
      </c>
      <c r="P6" s="677" t="s">
        <v>106</v>
      </c>
      <c r="Q6" s="676" t="s">
        <v>105</v>
      </c>
      <c r="R6" s="677" t="s">
        <v>106</v>
      </c>
      <c r="S6" s="676" t="s">
        <v>105</v>
      </c>
      <c r="T6" s="677" t="s">
        <v>106</v>
      </c>
      <c r="U6" s="676" t="s">
        <v>105</v>
      </c>
      <c r="V6" s="678" t="s">
        <v>106</v>
      </c>
    </row>
    <row r="7" spans="1:23" ht="12" customHeight="1" thickTop="1">
      <c r="A7" s="152" t="str">
        <f>'t1'!A6</f>
        <v>SEGRETARIO A</v>
      </c>
      <c r="B7" s="224" t="str">
        <f>'t1'!B6</f>
        <v>0D0102</v>
      </c>
      <c r="C7" s="745"/>
      <c r="D7" s="746"/>
      <c r="E7" s="745"/>
      <c r="F7" s="747"/>
      <c r="G7" s="745"/>
      <c r="H7" s="747"/>
      <c r="I7" s="745"/>
      <c r="J7" s="746"/>
      <c r="K7" s="747"/>
      <c r="L7" s="746"/>
      <c r="M7" s="747"/>
      <c r="N7" s="746"/>
      <c r="O7" s="748"/>
      <c r="P7" s="746"/>
      <c r="Q7" s="747"/>
      <c r="R7" s="746"/>
      <c r="S7" s="747"/>
      <c r="T7" s="746"/>
      <c r="U7" s="440">
        <f>SUM(C7,E7,G7,I7,K7,M7,O7,Q7,S7)</f>
        <v>0</v>
      </c>
      <c r="V7" s="441">
        <f>SUM(D7,F7,H7,J7,L7,N7,P7,R7,T7)</f>
        <v>0</v>
      </c>
      <c r="W7" s="870">
        <f>'t1'!N6</f>
        <v>0</v>
      </c>
    </row>
    <row r="8" spans="1:23" ht="12" customHeight="1">
      <c r="A8" s="152" t="str">
        <f>'t1'!A7</f>
        <v>SEGRETARIO B</v>
      </c>
      <c r="B8" s="224" t="str">
        <f>'t1'!B7</f>
        <v>0D0103</v>
      </c>
      <c r="C8" s="745"/>
      <c r="D8" s="746"/>
      <c r="E8" s="745"/>
      <c r="F8" s="747"/>
      <c r="G8" s="745"/>
      <c r="H8" s="747"/>
      <c r="I8" s="745"/>
      <c r="J8" s="746"/>
      <c r="K8" s="747"/>
      <c r="L8" s="746"/>
      <c r="M8" s="747"/>
      <c r="N8" s="746"/>
      <c r="O8" s="748"/>
      <c r="P8" s="746"/>
      <c r="Q8" s="747"/>
      <c r="R8" s="746"/>
      <c r="S8" s="747"/>
      <c r="T8" s="746"/>
      <c r="U8" s="440">
        <f t="shared" ref="U8:U50" si="0">SUM(C8,E8,G8,I8,K8,M8,O8,Q8,S8)</f>
        <v>0</v>
      </c>
      <c r="V8" s="441">
        <f t="shared" ref="V8:V50" si="1">SUM(D8,F8,H8,J8,L8,N8,P8,R8,T8)</f>
        <v>0</v>
      </c>
      <c r="W8" s="870">
        <f>'t1'!N7</f>
        <v>0</v>
      </c>
    </row>
    <row r="9" spans="1:23" ht="12" customHeight="1">
      <c r="A9" s="152" t="str">
        <f>'t1'!A8</f>
        <v>SEGRETARIO C</v>
      </c>
      <c r="B9" s="224" t="str">
        <f>'t1'!B8</f>
        <v>0D0485</v>
      </c>
      <c r="C9" s="745"/>
      <c r="D9" s="746"/>
      <c r="E9" s="745"/>
      <c r="F9" s="747"/>
      <c r="G9" s="745"/>
      <c r="H9" s="747"/>
      <c r="I9" s="745"/>
      <c r="J9" s="746"/>
      <c r="K9" s="747"/>
      <c r="L9" s="746"/>
      <c r="M9" s="747"/>
      <c r="N9" s="746"/>
      <c r="O9" s="748"/>
      <c r="P9" s="746"/>
      <c r="Q9" s="747"/>
      <c r="R9" s="746"/>
      <c r="S9" s="747"/>
      <c r="T9" s="746"/>
      <c r="U9" s="440">
        <f t="shared" si="0"/>
        <v>0</v>
      </c>
      <c r="V9" s="441">
        <f t="shared" si="1"/>
        <v>0</v>
      </c>
      <c r="W9" s="870">
        <f>'t1'!N8</f>
        <v>0</v>
      </c>
    </row>
    <row r="10" spans="1:23" ht="12" customHeight="1">
      <c r="A10" s="152" t="str">
        <f>'t1'!A9</f>
        <v>SEGRETARIO GENERALE CCIAA</v>
      </c>
      <c r="B10" s="224" t="str">
        <f>'t1'!B9</f>
        <v>0D0104</v>
      </c>
      <c r="C10" s="745"/>
      <c r="D10" s="746"/>
      <c r="E10" s="745"/>
      <c r="F10" s="747"/>
      <c r="G10" s="745"/>
      <c r="H10" s="747"/>
      <c r="I10" s="745"/>
      <c r="J10" s="746"/>
      <c r="K10" s="747"/>
      <c r="L10" s="746"/>
      <c r="M10" s="747"/>
      <c r="N10" s="746"/>
      <c r="O10" s="748"/>
      <c r="P10" s="746"/>
      <c r="Q10" s="747"/>
      <c r="R10" s="746"/>
      <c r="S10" s="747"/>
      <c r="T10" s="746"/>
      <c r="U10" s="440">
        <f t="shared" si="0"/>
        <v>0</v>
      </c>
      <c r="V10" s="441">
        <f t="shared" si="1"/>
        <v>0</v>
      </c>
      <c r="W10" s="870">
        <f>'t1'!N9</f>
        <v>0</v>
      </c>
    </row>
    <row r="11" spans="1:23" ht="12" customHeight="1">
      <c r="A11" s="152" t="str">
        <f>'t1'!A10</f>
        <v>DIRETTORE  GENERALE</v>
      </c>
      <c r="B11" s="224" t="str">
        <f>'t1'!B10</f>
        <v>0D0097</v>
      </c>
      <c r="C11" s="745"/>
      <c r="D11" s="746"/>
      <c r="E11" s="745"/>
      <c r="F11" s="747"/>
      <c r="G11" s="745"/>
      <c r="H11" s="747"/>
      <c r="I11" s="745"/>
      <c r="J11" s="746"/>
      <c r="K11" s="747"/>
      <c r="L11" s="746"/>
      <c r="M11" s="747"/>
      <c r="N11" s="746"/>
      <c r="O11" s="748"/>
      <c r="P11" s="746"/>
      <c r="Q11" s="747"/>
      <c r="R11" s="746"/>
      <c r="S11" s="747"/>
      <c r="T11" s="746"/>
      <c r="U11" s="440">
        <f t="shared" si="0"/>
        <v>0</v>
      </c>
      <c r="V11" s="441">
        <f t="shared" si="1"/>
        <v>0</v>
      </c>
      <c r="W11" s="870">
        <f>'t1'!N10</f>
        <v>0</v>
      </c>
    </row>
    <row r="12" spans="1:23" ht="12" customHeight="1">
      <c r="A12" s="152" t="str">
        <f>'t1'!A11</f>
        <v>DIRIGENTE FUORI D.O. art.110 c.2 TUEL</v>
      </c>
      <c r="B12" s="224" t="str">
        <f>'t1'!B11</f>
        <v>0D0098</v>
      </c>
      <c r="C12" s="745"/>
      <c r="D12" s="746"/>
      <c r="E12" s="745"/>
      <c r="F12" s="747"/>
      <c r="G12" s="745"/>
      <c r="H12" s="747"/>
      <c r="I12" s="745"/>
      <c r="J12" s="746"/>
      <c r="K12" s="747"/>
      <c r="L12" s="746"/>
      <c r="M12" s="747"/>
      <c r="N12" s="746"/>
      <c r="O12" s="748"/>
      <c r="P12" s="746"/>
      <c r="Q12" s="747"/>
      <c r="R12" s="746"/>
      <c r="S12" s="747"/>
      <c r="T12" s="746"/>
      <c r="U12" s="440">
        <f t="shared" si="0"/>
        <v>0</v>
      </c>
      <c r="V12" s="441">
        <f t="shared" si="1"/>
        <v>0</v>
      </c>
      <c r="W12" s="870">
        <f>'t1'!N11</f>
        <v>0</v>
      </c>
    </row>
    <row r="13" spans="1:23" ht="12" customHeight="1">
      <c r="A13" s="152" t="str">
        <f>'t1'!A12</f>
        <v>ALTE SPECIALIZZ. FUORI D.O.art.110 c.2 TUEL</v>
      </c>
      <c r="B13" s="224" t="str">
        <f>'t1'!B12</f>
        <v>0D0095</v>
      </c>
      <c r="C13" s="745"/>
      <c r="D13" s="746"/>
      <c r="E13" s="745"/>
      <c r="F13" s="747"/>
      <c r="G13" s="745"/>
      <c r="H13" s="747"/>
      <c r="I13" s="745"/>
      <c r="J13" s="746"/>
      <c r="K13" s="747"/>
      <c r="L13" s="746"/>
      <c r="M13" s="747"/>
      <c r="N13" s="746"/>
      <c r="O13" s="748"/>
      <c r="P13" s="746"/>
      <c r="Q13" s="747"/>
      <c r="R13" s="746"/>
      <c r="S13" s="747"/>
      <c r="T13" s="746"/>
      <c r="U13" s="440">
        <f t="shared" si="0"/>
        <v>0</v>
      </c>
      <c r="V13" s="441">
        <f t="shared" si="1"/>
        <v>0</v>
      </c>
      <c r="W13" s="870">
        <f>'t1'!N12</f>
        <v>0</v>
      </c>
    </row>
    <row r="14" spans="1:23" ht="12" customHeight="1">
      <c r="A14" s="152" t="str">
        <f>'t1'!A13</f>
        <v>DIRIGENTE A TEMPO INDETERMINATO</v>
      </c>
      <c r="B14" s="224" t="str">
        <f>'t1'!B13</f>
        <v>0D0164</v>
      </c>
      <c r="C14" s="745"/>
      <c r="D14" s="746"/>
      <c r="E14" s="745"/>
      <c r="F14" s="747"/>
      <c r="G14" s="745"/>
      <c r="H14" s="747"/>
      <c r="I14" s="745"/>
      <c r="J14" s="746"/>
      <c r="K14" s="747"/>
      <c r="L14" s="746"/>
      <c r="M14" s="747"/>
      <c r="N14" s="746"/>
      <c r="O14" s="748"/>
      <c r="P14" s="746"/>
      <c r="Q14" s="747"/>
      <c r="R14" s="746"/>
      <c r="S14" s="747"/>
      <c r="T14" s="746"/>
      <c r="U14" s="440">
        <f t="shared" si="0"/>
        <v>0</v>
      </c>
      <c r="V14" s="441">
        <f t="shared" si="1"/>
        <v>0</v>
      </c>
      <c r="W14" s="870">
        <f>'t1'!N13</f>
        <v>0</v>
      </c>
    </row>
    <row r="15" spans="1:23" ht="12" customHeight="1">
      <c r="A15" s="152" t="str">
        <f>'t1'!A14</f>
        <v>DIRIGENTE A TEMPO DET.TO  ART.110 C.1 TUEL</v>
      </c>
      <c r="B15" s="224" t="str">
        <f>'t1'!B14</f>
        <v>0D0165</v>
      </c>
      <c r="C15" s="745"/>
      <c r="D15" s="746"/>
      <c r="E15" s="745"/>
      <c r="F15" s="747"/>
      <c r="G15" s="745"/>
      <c r="H15" s="747"/>
      <c r="I15" s="745"/>
      <c r="J15" s="746"/>
      <c r="K15" s="747"/>
      <c r="L15" s="746"/>
      <c r="M15" s="747"/>
      <c r="N15" s="746"/>
      <c r="O15" s="748"/>
      <c r="P15" s="746"/>
      <c r="Q15" s="747"/>
      <c r="R15" s="746"/>
      <c r="S15" s="747"/>
      <c r="T15" s="746"/>
      <c r="U15" s="440">
        <f t="shared" si="0"/>
        <v>0</v>
      </c>
      <c r="V15" s="441">
        <f t="shared" si="1"/>
        <v>0</v>
      </c>
      <c r="W15" s="870">
        <f>'t1'!N14</f>
        <v>0</v>
      </c>
    </row>
    <row r="16" spans="1:23" ht="12" customHeight="1">
      <c r="A16" s="152" t="str">
        <f>'t1'!A15</f>
        <v>ALTE SPECIALIZZ. IN D.O. art.110 c.1 TUEL</v>
      </c>
      <c r="B16" s="224" t="str">
        <f>'t1'!B15</f>
        <v>0D0I95</v>
      </c>
      <c r="C16" s="745"/>
      <c r="D16" s="746"/>
      <c r="E16" s="745"/>
      <c r="F16" s="747"/>
      <c r="G16" s="745"/>
      <c r="H16" s="747"/>
      <c r="I16" s="745"/>
      <c r="J16" s="746"/>
      <c r="K16" s="747"/>
      <c r="L16" s="746"/>
      <c r="M16" s="747"/>
      <c r="N16" s="746"/>
      <c r="O16" s="748"/>
      <c r="P16" s="746"/>
      <c r="Q16" s="747"/>
      <c r="R16" s="746"/>
      <c r="S16" s="747"/>
      <c r="T16" s="746"/>
      <c r="U16" s="440">
        <f t="shared" si="0"/>
        <v>0</v>
      </c>
      <c r="V16" s="441">
        <f t="shared" si="1"/>
        <v>0</v>
      </c>
      <c r="W16" s="870">
        <f>'t1'!N15</f>
        <v>0</v>
      </c>
    </row>
    <row r="17" spans="1:23" ht="12" customHeight="1">
      <c r="A17" s="152" t="str">
        <f>'t1'!A16</f>
        <v>POSIZ. ECON. D6 - PROFILI ACCESSO D3</v>
      </c>
      <c r="B17" s="224" t="str">
        <f>'t1'!B16</f>
        <v>0D6A00</v>
      </c>
      <c r="C17" s="745"/>
      <c r="D17" s="746"/>
      <c r="E17" s="745"/>
      <c r="F17" s="747"/>
      <c r="G17" s="745"/>
      <c r="H17" s="747"/>
      <c r="I17" s="745"/>
      <c r="J17" s="746"/>
      <c r="K17" s="747"/>
      <c r="L17" s="746"/>
      <c r="M17" s="747"/>
      <c r="N17" s="746"/>
      <c r="O17" s="748"/>
      <c r="P17" s="746"/>
      <c r="Q17" s="747"/>
      <c r="R17" s="746"/>
      <c r="S17" s="747"/>
      <c r="T17" s="746"/>
      <c r="U17" s="440">
        <f t="shared" si="0"/>
        <v>0</v>
      </c>
      <c r="V17" s="441">
        <f t="shared" si="1"/>
        <v>0</v>
      </c>
      <c r="W17" s="870">
        <f>'t1'!N16</f>
        <v>0</v>
      </c>
    </row>
    <row r="18" spans="1:23" ht="12" customHeight="1">
      <c r="A18" s="152" t="str">
        <f>'t1'!A17</f>
        <v>POSIZ. ECON. D6 - PROFILO ACCESSO D1</v>
      </c>
      <c r="B18" s="224" t="str">
        <f>'t1'!B17</f>
        <v>0D6000</v>
      </c>
      <c r="C18" s="745"/>
      <c r="D18" s="746"/>
      <c r="E18" s="745"/>
      <c r="F18" s="747"/>
      <c r="G18" s="745"/>
      <c r="H18" s="747"/>
      <c r="I18" s="745"/>
      <c r="J18" s="746"/>
      <c r="K18" s="747"/>
      <c r="L18" s="746"/>
      <c r="M18" s="747"/>
      <c r="N18" s="746"/>
      <c r="O18" s="748"/>
      <c r="P18" s="746"/>
      <c r="Q18" s="747"/>
      <c r="R18" s="746"/>
      <c r="S18" s="747"/>
      <c r="T18" s="746"/>
      <c r="U18" s="440">
        <f t="shared" si="0"/>
        <v>0</v>
      </c>
      <c r="V18" s="441">
        <f t="shared" si="1"/>
        <v>0</v>
      </c>
      <c r="W18" s="870">
        <f>'t1'!N17</f>
        <v>0</v>
      </c>
    </row>
    <row r="19" spans="1:23" ht="12" customHeight="1">
      <c r="A19" s="152" t="str">
        <f>'t1'!A18</f>
        <v>POSIZ. ECON. D5 PROFILI ACCESSO D3</v>
      </c>
      <c r="B19" s="224" t="str">
        <f>'t1'!B18</f>
        <v>052486</v>
      </c>
      <c r="C19" s="745"/>
      <c r="D19" s="746"/>
      <c r="E19" s="745"/>
      <c r="F19" s="747"/>
      <c r="G19" s="745"/>
      <c r="H19" s="747"/>
      <c r="I19" s="745"/>
      <c r="J19" s="746"/>
      <c r="K19" s="747"/>
      <c r="L19" s="746"/>
      <c r="M19" s="747"/>
      <c r="N19" s="746"/>
      <c r="O19" s="748"/>
      <c r="P19" s="746"/>
      <c r="Q19" s="747"/>
      <c r="R19" s="746"/>
      <c r="S19" s="747"/>
      <c r="T19" s="746"/>
      <c r="U19" s="440">
        <f t="shared" si="0"/>
        <v>0</v>
      </c>
      <c r="V19" s="441">
        <f t="shared" si="1"/>
        <v>0</v>
      </c>
      <c r="W19" s="870">
        <f>'t1'!N18</f>
        <v>0</v>
      </c>
    </row>
    <row r="20" spans="1:23" ht="12" customHeight="1">
      <c r="A20" s="152" t="str">
        <f>'t1'!A19</f>
        <v>POSIZ. ECON. D5 PROFILI ACCESSO D1</v>
      </c>
      <c r="B20" s="224" t="str">
        <f>'t1'!B19</f>
        <v>052487</v>
      </c>
      <c r="C20" s="745"/>
      <c r="D20" s="746"/>
      <c r="E20" s="745"/>
      <c r="F20" s="747"/>
      <c r="G20" s="745"/>
      <c r="H20" s="747"/>
      <c r="I20" s="745"/>
      <c r="J20" s="746"/>
      <c r="K20" s="747"/>
      <c r="L20" s="746"/>
      <c r="M20" s="747"/>
      <c r="N20" s="746"/>
      <c r="O20" s="748"/>
      <c r="P20" s="746"/>
      <c r="Q20" s="747"/>
      <c r="R20" s="746"/>
      <c r="S20" s="747"/>
      <c r="T20" s="746"/>
      <c r="U20" s="440">
        <f t="shared" si="0"/>
        <v>0</v>
      </c>
      <c r="V20" s="441">
        <f t="shared" si="1"/>
        <v>0</v>
      </c>
      <c r="W20" s="870">
        <f>'t1'!N19</f>
        <v>0</v>
      </c>
    </row>
    <row r="21" spans="1:23" ht="12" customHeight="1">
      <c r="A21" s="152" t="str">
        <f>'t1'!A20</f>
        <v>POSIZ. ECON. D4 PROFILI ACCESSO D3</v>
      </c>
      <c r="B21" s="224" t="str">
        <f>'t1'!B20</f>
        <v>051488</v>
      </c>
      <c r="C21" s="745"/>
      <c r="D21" s="746"/>
      <c r="E21" s="745"/>
      <c r="F21" s="747"/>
      <c r="G21" s="745"/>
      <c r="H21" s="747"/>
      <c r="I21" s="745"/>
      <c r="J21" s="746"/>
      <c r="K21" s="747"/>
      <c r="L21" s="746"/>
      <c r="M21" s="747"/>
      <c r="N21" s="746"/>
      <c r="O21" s="748"/>
      <c r="P21" s="746"/>
      <c r="Q21" s="747"/>
      <c r="R21" s="746"/>
      <c r="S21" s="747"/>
      <c r="T21" s="746"/>
      <c r="U21" s="440">
        <f t="shared" si="0"/>
        <v>0</v>
      </c>
      <c r="V21" s="441">
        <f t="shared" si="1"/>
        <v>0</v>
      </c>
      <c r="W21" s="870">
        <f>'t1'!N20</f>
        <v>0</v>
      </c>
    </row>
    <row r="22" spans="1:23" ht="12" customHeight="1">
      <c r="A22" s="152" t="str">
        <f>'t1'!A21</f>
        <v>POSIZ. ECON. D4 PROFILI ACCESSO D1</v>
      </c>
      <c r="B22" s="224" t="str">
        <f>'t1'!B21</f>
        <v>051489</v>
      </c>
      <c r="C22" s="745"/>
      <c r="D22" s="746"/>
      <c r="E22" s="745"/>
      <c r="F22" s="747"/>
      <c r="G22" s="745"/>
      <c r="H22" s="747"/>
      <c r="I22" s="745"/>
      <c r="J22" s="746"/>
      <c r="K22" s="747"/>
      <c r="L22" s="746"/>
      <c r="M22" s="747"/>
      <c r="N22" s="746"/>
      <c r="O22" s="748"/>
      <c r="P22" s="746"/>
      <c r="Q22" s="747"/>
      <c r="R22" s="746"/>
      <c r="S22" s="747"/>
      <c r="T22" s="746"/>
      <c r="U22" s="440">
        <f t="shared" si="0"/>
        <v>0</v>
      </c>
      <c r="V22" s="441">
        <f t="shared" si="1"/>
        <v>0</v>
      </c>
      <c r="W22" s="870">
        <f>'t1'!N21</f>
        <v>0</v>
      </c>
    </row>
    <row r="23" spans="1:23" ht="12" customHeight="1">
      <c r="A23" s="152" t="str">
        <f>'t1'!A22</f>
        <v>POSIZIONE ECONOMICA DI ACCESSO D3</v>
      </c>
      <c r="B23" s="224" t="str">
        <f>'t1'!B22</f>
        <v>058000</v>
      </c>
      <c r="C23" s="745"/>
      <c r="D23" s="746"/>
      <c r="E23" s="745"/>
      <c r="F23" s="747"/>
      <c r="G23" s="745"/>
      <c r="H23" s="747"/>
      <c r="I23" s="745"/>
      <c r="J23" s="746"/>
      <c r="K23" s="747"/>
      <c r="L23" s="746"/>
      <c r="M23" s="747"/>
      <c r="N23" s="746"/>
      <c r="O23" s="748"/>
      <c r="P23" s="746"/>
      <c r="Q23" s="747"/>
      <c r="R23" s="746"/>
      <c r="S23" s="747"/>
      <c r="T23" s="746"/>
      <c r="U23" s="440">
        <f t="shared" si="0"/>
        <v>0</v>
      </c>
      <c r="V23" s="441">
        <f t="shared" si="1"/>
        <v>0</v>
      </c>
      <c r="W23" s="870">
        <f>'t1'!N22</f>
        <v>0</v>
      </c>
    </row>
    <row r="24" spans="1:23" ht="12" customHeight="1">
      <c r="A24" s="152" t="str">
        <f>'t1'!A23</f>
        <v>POSIZIONE ECONOMICA D3</v>
      </c>
      <c r="B24" s="224" t="str">
        <f>'t1'!B23</f>
        <v>050000</v>
      </c>
      <c r="C24" s="745"/>
      <c r="D24" s="746"/>
      <c r="E24" s="745"/>
      <c r="F24" s="747"/>
      <c r="G24" s="745"/>
      <c r="H24" s="747"/>
      <c r="I24" s="745"/>
      <c r="J24" s="746"/>
      <c r="K24" s="747"/>
      <c r="L24" s="746"/>
      <c r="M24" s="747"/>
      <c r="N24" s="746"/>
      <c r="O24" s="748"/>
      <c r="P24" s="746"/>
      <c r="Q24" s="747"/>
      <c r="R24" s="746"/>
      <c r="S24" s="747"/>
      <c r="T24" s="746"/>
      <c r="U24" s="440">
        <f t="shared" si="0"/>
        <v>0</v>
      </c>
      <c r="V24" s="441">
        <f t="shared" si="1"/>
        <v>0</v>
      </c>
      <c r="W24" s="870">
        <f>'t1'!N23</f>
        <v>0</v>
      </c>
    </row>
    <row r="25" spans="1:23" ht="12" customHeight="1">
      <c r="A25" s="152" t="str">
        <f>'t1'!A24</f>
        <v>POSIZIONE ECONOMICA D2</v>
      </c>
      <c r="B25" s="224" t="str">
        <f>'t1'!B24</f>
        <v>049000</v>
      </c>
      <c r="C25" s="745"/>
      <c r="D25" s="746"/>
      <c r="E25" s="745"/>
      <c r="F25" s="747">
        <v>1</v>
      </c>
      <c r="G25" s="745"/>
      <c r="H25" s="747"/>
      <c r="I25" s="745"/>
      <c r="J25" s="746"/>
      <c r="K25" s="747"/>
      <c r="L25" s="746"/>
      <c r="M25" s="747"/>
      <c r="N25" s="746"/>
      <c r="O25" s="748"/>
      <c r="P25" s="746"/>
      <c r="Q25" s="747"/>
      <c r="R25" s="746"/>
      <c r="S25" s="747"/>
      <c r="T25" s="746"/>
      <c r="U25" s="440">
        <f t="shared" si="0"/>
        <v>0</v>
      </c>
      <c r="V25" s="441">
        <f t="shared" si="1"/>
        <v>1</v>
      </c>
      <c r="W25" s="870">
        <f>'t1'!N24</f>
        <v>0</v>
      </c>
    </row>
    <row r="26" spans="1:23" ht="12" customHeight="1">
      <c r="A26" s="152" t="str">
        <f>'t1'!A25</f>
        <v>POSIZIONE ECONOMICA DI ACCESSO D1</v>
      </c>
      <c r="B26" s="224" t="str">
        <f>'t1'!B25</f>
        <v>057000</v>
      </c>
      <c r="C26" s="745">
        <v>1</v>
      </c>
      <c r="D26" s="746"/>
      <c r="E26" s="745"/>
      <c r="F26" s="747"/>
      <c r="G26" s="745"/>
      <c r="H26" s="747"/>
      <c r="I26" s="745"/>
      <c r="J26" s="746"/>
      <c r="K26" s="747"/>
      <c r="L26" s="746"/>
      <c r="M26" s="747"/>
      <c r="N26" s="746"/>
      <c r="O26" s="748"/>
      <c r="P26" s="746"/>
      <c r="Q26" s="747"/>
      <c r="R26" s="746"/>
      <c r="S26" s="747"/>
      <c r="T26" s="746"/>
      <c r="U26" s="440">
        <f t="shared" si="0"/>
        <v>1</v>
      </c>
      <c r="V26" s="441">
        <f t="shared" si="1"/>
        <v>0</v>
      </c>
      <c r="W26" s="870">
        <f>'t1'!N25</f>
        <v>1</v>
      </c>
    </row>
    <row r="27" spans="1:23" ht="12" customHeight="1">
      <c r="A27" s="152" t="str">
        <f>'t1'!A26</f>
        <v>POSIZIONE ECONOMICA C5</v>
      </c>
      <c r="B27" s="224" t="str">
        <f>'t1'!B26</f>
        <v>046000</v>
      </c>
      <c r="C27" s="745"/>
      <c r="D27" s="746"/>
      <c r="E27" s="745"/>
      <c r="F27" s="747"/>
      <c r="G27" s="745"/>
      <c r="H27" s="747"/>
      <c r="I27" s="745"/>
      <c r="J27" s="746"/>
      <c r="K27" s="747"/>
      <c r="L27" s="746"/>
      <c r="M27" s="747"/>
      <c r="N27" s="746"/>
      <c r="O27" s="748"/>
      <c r="P27" s="746"/>
      <c r="Q27" s="747"/>
      <c r="R27" s="746"/>
      <c r="S27" s="747"/>
      <c r="T27" s="746"/>
      <c r="U27" s="440">
        <f t="shared" si="0"/>
        <v>0</v>
      </c>
      <c r="V27" s="441">
        <f t="shared" si="1"/>
        <v>0</v>
      </c>
      <c r="W27" s="870">
        <f>'t1'!N26</f>
        <v>0</v>
      </c>
    </row>
    <row r="28" spans="1:23" ht="12" customHeight="1">
      <c r="A28" s="152" t="str">
        <f>'t1'!A27</f>
        <v>POSIZIONE ECONOMICA C4</v>
      </c>
      <c r="B28" s="224" t="str">
        <f>'t1'!B27</f>
        <v>045000</v>
      </c>
      <c r="C28" s="745"/>
      <c r="D28" s="746"/>
      <c r="E28" s="745"/>
      <c r="F28" s="747"/>
      <c r="G28" s="745"/>
      <c r="H28" s="747"/>
      <c r="I28" s="745"/>
      <c r="J28" s="746"/>
      <c r="K28" s="747"/>
      <c r="L28" s="746"/>
      <c r="M28" s="747"/>
      <c r="N28" s="746"/>
      <c r="O28" s="748"/>
      <c r="P28" s="746"/>
      <c r="Q28" s="747"/>
      <c r="R28" s="746"/>
      <c r="S28" s="747"/>
      <c r="T28" s="746"/>
      <c r="U28" s="440">
        <f t="shared" si="0"/>
        <v>0</v>
      </c>
      <c r="V28" s="441">
        <f t="shared" si="1"/>
        <v>0</v>
      </c>
      <c r="W28" s="870">
        <f>'t1'!N27</f>
        <v>0</v>
      </c>
    </row>
    <row r="29" spans="1:23" ht="12" customHeight="1">
      <c r="A29" s="152" t="str">
        <f>'t1'!A28</f>
        <v>POSIZIONE ECONOMICA C3</v>
      </c>
      <c r="B29" s="224" t="str">
        <f>'t1'!B28</f>
        <v>043000</v>
      </c>
      <c r="C29" s="745"/>
      <c r="D29" s="746"/>
      <c r="E29" s="745"/>
      <c r="F29" s="747"/>
      <c r="G29" s="745"/>
      <c r="H29" s="747"/>
      <c r="I29" s="745"/>
      <c r="J29" s="746"/>
      <c r="K29" s="747"/>
      <c r="L29" s="746"/>
      <c r="M29" s="747"/>
      <c r="N29" s="746"/>
      <c r="O29" s="748"/>
      <c r="P29" s="746"/>
      <c r="Q29" s="747"/>
      <c r="R29" s="746"/>
      <c r="S29" s="747"/>
      <c r="T29" s="746"/>
      <c r="U29" s="440">
        <f t="shared" si="0"/>
        <v>0</v>
      </c>
      <c r="V29" s="441">
        <f t="shared" si="1"/>
        <v>0</v>
      </c>
      <c r="W29" s="870">
        <f>'t1'!N28</f>
        <v>0</v>
      </c>
    </row>
    <row r="30" spans="1:23" ht="12" customHeight="1">
      <c r="A30" s="152" t="str">
        <f>'t1'!A29</f>
        <v>POSIZIONE ECONOMICA C2</v>
      </c>
      <c r="B30" s="224" t="str">
        <f>'t1'!B29</f>
        <v>042000</v>
      </c>
      <c r="C30" s="745"/>
      <c r="D30" s="746"/>
      <c r="E30" s="745"/>
      <c r="F30" s="747"/>
      <c r="G30" s="745"/>
      <c r="H30" s="747"/>
      <c r="I30" s="745"/>
      <c r="J30" s="746"/>
      <c r="K30" s="747"/>
      <c r="L30" s="746"/>
      <c r="M30" s="747"/>
      <c r="N30" s="746"/>
      <c r="O30" s="748"/>
      <c r="P30" s="746"/>
      <c r="Q30" s="747"/>
      <c r="R30" s="746"/>
      <c r="S30" s="747"/>
      <c r="T30" s="746"/>
      <c r="U30" s="440">
        <f t="shared" si="0"/>
        <v>0</v>
      </c>
      <c r="V30" s="441">
        <f t="shared" si="1"/>
        <v>0</v>
      </c>
      <c r="W30" s="870">
        <f>'t1'!N29</f>
        <v>1</v>
      </c>
    </row>
    <row r="31" spans="1:23" ht="12" customHeight="1">
      <c r="A31" s="152" t="str">
        <f>'t1'!A30</f>
        <v>POSIZIONE ECONOMICA DI ACCESSO C1</v>
      </c>
      <c r="B31" s="224" t="str">
        <f>'t1'!B30</f>
        <v>056000</v>
      </c>
      <c r="C31" s="745"/>
      <c r="D31" s="746">
        <v>1</v>
      </c>
      <c r="E31" s="745"/>
      <c r="F31" s="747">
        <v>1</v>
      </c>
      <c r="G31" s="745"/>
      <c r="H31" s="747"/>
      <c r="I31" s="745"/>
      <c r="J31" s="746"/>
      <c r="K31" s="747"/>
      <c r="L31" s="746"/>
      <c r="M31" s="747"/>
      <c r="N31" s="746"/>
      <c r="O31" s="748"/>
      <c r="P31" s="746"/>
      <c r="Q31" s="747"/>
      <c r="R31" s="746"/>
      <c r="S31" s="747"/>
      <c r="T31" s="746"/>
      <c r="U31" s="440">
        <f t="shared" si="0"/>
        <v>0</v>
      </c>
      <c r="V31" s="441">
        <f t="shared" si="1"/>
        <v>2</v>
      </c>
      <c r="W31" s="870">
        <f>'t1'!N30</f>
        <v>1</v>
      </c>
    </row>
    <row r="32" spans="1:23" ht="12" customHeight="1">
      <c r="A32" s="152" t="str">
        <f>'t1'!A31</f>
        <v>POSIZ. ECON. B7 - PROFILO ACCESSO B3</v>
      </c>
      <c r="B32" s="224" t="str">
        <f>'t1'!B31</f>
        <v>0B7A00</v>
      </c>
      <c r="C32" s="745"/>
      <c r="D32" s="746"/>
      <c r="E32" s="745"/>
      <c r="F32" s="747"/>
      <c r="G32" s="745"/>
      <c r="H32" s="747"/>
      <c r="I32" s="745"/>
      <c r="J32" s="746"/>
      <c r="K32" s="747"/>
      <c r="L32" s="746"/>
      <c r="M32" s="747"/>
      <c r="N32" s="746"/>
      <c r="O32" s="748"/>
      <c r="P32" s="746"/>
      <c r="Q32" s="747"/>
      <c r="R32" s="746"/>
      <c r="S32" s="747"/>
      <c r="T32" s="746"/>
      <c r="U32" s="440">
        <f t="shared" si="0"/>
        <v>0</v>
      </c>
      <c r="V32" s="441">
        <f t="shared" si="1"/>
        <v>0</v>
      </c>
      <c r="W32" s="870">
        <f>'t1'!N31</f>
        <v>0</v>
      </c>
    </row>
    <row r="33" spans="1:23" ht="12" customHeight="1">
      <c r="A33" s="152" t="str">
        <f>'t1'!A32</f>
        <v>POSIZ. ECON. B7 - PROFILO  ACCESSO B1</v>
      </c>
      <c r="B33" s="224" t="str">
        <f>'t1'!B32</f>
        <v>0B7000</v>
      </c>
      <c r="C33" s="745"/>
      <c r="D33" s="746"/>
      <c r="E33" s="745"/>
      <c r="F33" s="747"/>
      <c r="G33" s="745"/>
      <c r="H33" s="747"/>
      <c r="I33" s="745"/>
      <c r="J33" s="746"/>
      <c r="K33" s="747"/>
      <c r="L33" s="746"/>
      <c r="M33" s="747"/>
      <c r="N33" s="746"/>
      <c r="O33" s="748"/>
      <c r="P33" s="746"/>
      <c r="Q33" s="747"/>
      <c r="R33" s="746"/>
      <c r="S33" s="747"/>
      <c r="T33" s="746"/>
      <c r="U33" s="440">
        <f t="shared" si="0"/>
        <v>0</v>
      </c>
      <c r="V33" s="441">
        <f t="shared" si="1"/>
        <v>0</v>
      </c>
      <c r="W33" s="870">
        <f>'t1'!N32</f>
        <v>0</v>
      </c>
    </row>
    <row r="34" spans="1:23" ht="12" customHeight="1">
      <c r="A34" s="152" t="str">
        <f>'t1'!A33</f>
        <v>POSIZ. ECON. B6 PROFILI ACCESSO B3</v>
      </c>
      <c r="B34" s="224" t="str">
        <f>'t1'!B33</f>
        <v>038490</v>
      </c>
      <c r="C34" s="745"/>
      <c r="D34" s="746"/>
      <c r="E34" s="745"/>
      <c r="F34" s="747"/>
      <c r="G34" s="745"/>
      <c r="H34" s="747"/>
      <c r="I34" s="745"/>
      <c r="J34" s="746"/>
      <c r="K34" s="747"/>
      <c r="L34" s="746"/>
      <c r="M34" s="747"/>
      <c r="N34" s="746"/>
      <c r="O34" s="748"/>
      <c r="P34" s="746"/>
      <c r="Q34" s="747"/>
      <c r="R34" s="746"/>
      <c r="S34" s="747"/>
      <c r="T34" s="746"/>
      <c r="U34" s="440">
        <f t="shared" si="0"/>
        <v>0</v>
      </c>
      <c r="V34" s="441">
        <f t="shared" si="1"/>
        <v>0</v>
      </c>
      <c r="W34" s="870">
        <f>'t1'!N33</f>
        <v>0</v>
      </c>
    </row>
    <row r="35" spans="1:23" ht="12" customHeight="1">
      <c r="A35" s="152" t="str">
        <f>'t1'!A34</f>
        <v>POSIZ. ECON. B6 PROFILI ACCESSO B1</v>
      </c>
      <c r="B35" s="224" t="str">
        <f>'t1'!B34</f>
        <v>038491</v>
      </c>
      <c r="C35" s="745"/>
      <c r="D35" s="746"/>
      <c r="E35" s="745"/>
      <c r="F35" s="747"/>
      <c r="G35" s="745"/>
      <c r="H35" s="747"/>
      <c r="I35" s="745"/>
      <c r="J35" s="746"/>
      <c r="K35" s="747"/>
      <c r="L35" s="746"/>
      <c r="M35" s="747"/>
      <c r="N35" s="746"/>
      <c r="O35" s="748"/>
      <c r="P35" s="746"/>
      <c r="Q35" s="747"/>
      <c r="R35" s="746"/>
      <c r="S35" s="747"/>
      <c r="T35" s="746"/>
      <c r="U35" s="440">
        <f t="shared" si="0"/>
        <v>0</v>
      </c>
      <c r="V35" s="441">
        <f t="shared" si="1"/>
        <v>0</v>
      </c>
      <c r="W35" s="870">
        <f>'t1'!N34</f>
        <v>0</v>
      </c>
    </row>
    <row r="36" spans="1:23" ht="12" customHeight="1">
      <c r="A36" s="152" t="str">
        <f>'t1'!A35</f>
        <v>POSIZ. ECON. B5 PROFILI ACCESSO B3</v>
      </c>
      <c r="B36" s="224" t="str">
        <f>'t1'!B35</f>
        <v>037492</v>
      </c>
      <c r="C36" s="745"/>
      <c r="D36" s="746"/>
      <c r="E36" s="745"/>
      <c r="F36" s="747"/>
      <c r="G36" s="745"/>
      <c r="H36" s="747"/>
      <c r="I36" s="745"/>
      <c r="J36" s="746"/>
      <c r="K36" s="747"/>
      <c r="L36" s="746"/>
      <c r="M36" s="747"/>
      <c r="N36" s="746"/>
      <c r="O36" s="748"/>
      <c r="P36" s="746"/>
      <c r="Q36" s="747"/>
      <c r="R36" s="746"/>
      <c r="S36" s="747"/>
      <c r="T36" s="746"/>
      <c r="U36" s="440">
        <f t="shared" si="0"/>
        <v>0</v>
      </c>
      <c r="V36" s="441">
        <f t="shared" si="1"/>
        <v>0</v>
      </c>
      <c r="W36" s="870">
        <f>'t1'!N35</f>
        <v>0</v>
      </c>
    </row>
    <row r="37" spans="1:23" ht="12" customHeight="1">
      <c r="A37" s="152" t="str">
        <f>'t1'!A36</f>
        <v>POSIZ. ECON. B5 PROFILI ACCESSO B1</v>
      </c>
      <c r="B37" s="224" t="str">
        <f>'t1'!B36</f>
        <v>037493</v>
      </c>
      <c r="C37" s="745"/>
      <c r="D37" s="746"/>
      <c r="E37" s="745"/>
      <c r="F37" s="747"/>
      <c r="G37" s="745"/>
      <c r="H37" s="747"/>
      <c r="I37" s="745"/>
      <c r="J37" s="746"/>
      <c r="K37" s="747"/>
      <c r="L37" s="746"/>
      <c r="M37" s="747"/>
      <c r="N37" s="746"/>
      <c r="O37" s="748"/>
      <c r="P37" s="746"/>
      <c r="Q37" s="747"/>
      <c r="R37" s="746"/>
      <c r="S37" s="747"/>
      <c r="T37" s="746"/>
      <c r="U37" s="440">
        <f t="shared" si="0"/>
        <v>0</v>
      </c>
      <c r="V37" s="441">
        <f t="shared" si="1"/>
        <v>0</v>
      </c>
      <c r="W37" s="870">
        <f>'t1'!N36</f>
        <v>0</v>
      </c>
    </row>
    <row r="38" spans="1:23" ht="12" customHeight="1">
      <c r="A38" s="152" t="str">
        <f>'t1'!A37</f>
        <v>POSIZ. ECON. B4 PROFILI ACCESSO B3</v>
      </c>
      <c r="B38" s="224" t="str">
        <f>'t1'!B37</f>
        <v>036494</v>
      </c>
      <c r="C38" s="745"/>
      <c r="D38" s="746"/>
      <c r="E38" s="745"/>
      <c r="F38" s="747"/>
      <c r="G38" s="745"/>
      <c r="H38" s="747"/>
      <c r="I38" s="745"/>
      <c r="J38" s="746"/>
      <c r="K38" s="747"/>
      <c r="L38" s="746"/>
      <c r="M38" s="747"/>
      <c r="N38" s="746"/>
      <c r="O38" s="748"/>
      <c r="P38" s="746"/>
      <c r="Q38" s="747"/>
      <c r="R38" s="746"/>
      <c r="S38" s="747"/>
      <c r="T38" s="746"/>
      <c r="U38" s="440">
        <f t="shared" si="0"/>
        <v>0</v>
      </c>
      <c r="V38" s="441">
        <f t="shared" si="1"/>
        <v>0</v>
      </c>
      <c r="W38" s="870">
        <f>'t1'!N37</f>
        <v>0</v>
      </c>
    </row>
    <row r="39" spans="1:23" ht="12" customHeight="1">
      <c r="A39" s="152" t="str">
        <f>'t1'!A38</f>
        <v>POSIZ. ECON. B4 PROFILI ACCESSO B1</v>
      </c>
      <c r="B39" s="224" t="str">
        <f>'t1'!B38</f>
        <v>036495</v>
      </c>
      <c r="C39" s="745"/>
      <c r="D39" s="746"/>
      <c r="E39" s="745"/>
      <c r="F39" s="747"/>
      <c r="G39" s="745"/>
      <c r="H39" s="747"/>
      <c r="I39" s="745"/>
      <c r="J39" s="746"/>
      <c r="K39" s="747"/>
      <c r="L39" s="746"/>
      <c r="M39" s="747"/>
      <c r="N39" s="746"/>
      <c r="O39" s="748"/>
      <c r="P39" s="746"/>
      <c r="Q39" s="747"/>
      <c r="R39" s="746"/>
      <c r="S39" s="747"/>
      <c r="T39" s="746"/>
      <c r="U39" s="440">
        <f t="shared" si="0"/>
        <v>0</v>
      </c>
      <c r="V39" s="441">
        <f t="shared" si="1"/>
        <v>0</v>
      </c>
      <c r="W39" s="870">
        <f>'t1'!N38</f>
        <v>0</v>
      </c>
    </row>
    <row r="40" spans="1:23" ht="12" customHeight="1">
      <c r="A40" s="152" t="str">
        <f>'t1'!A39</f>
        <v>POSIZIONE ECONOMICA DI ACCESSO B3</v>
      </c>
      <c r="B40" s="224" t="str">
        <f>'t1'!B39</f>
        <v>055000</v>
      </c>
      <c r="C40" s="745"/>
      <c r="D40" s="746"/>
      <c r="E40" s="745"/>
      <c r="F40" s="747"/>
      <c r="G40" s="745"/>
      <c r="H40" s="747"/>
      <c r="I40" s="745"/>
      <c r="J40" s="746"/>
      <c r="K40" s="747"/>
      <c r="L40" s="746"/>
      <c r="M40" s="747"/>
      <c r="N40" s="746"/>
      <c r="O40" s="748"/>
      <c r="P40" s="746"/>
      <c r="Q40" s="747"/>
      <c r="R40" s="746"/>
      <c r="S40" s="747"/>
      <c r="T40" s="746"/>
      <c r="U40" s="440">
        <f t="shared" si="0"/>
        <v>0</v>
      </c>
      <c r="V40" s="441">
        <f t="shared" si="1"/>
        <v>0</v>
      </c>
      <c r="W40" s="870">
        <f>'t1'!N39</f>
        <v>0</v>
      </c>
    </row>
    <row r="41" spans="1:23" ht="12" customHeight="1">
      <c r="A41" s="152" t="str">
        <f>'t1'!A40</f>
        <v>POSIZIONE ECONOMICA B3</v>
      </c>
      <c r="B41" s="224" t="str">
        <f>'t1'!B40</f>
        <v>034000</v>
      </c>
      <c r="C41" s="745"/>
      <c r="D41" s="746"/>
      <c r="E41" s="745"/>
      <c r="F41" s="747"/>
      <c r="G41" s="745"/>
      <c r="H41" s="747"/>
      <c r="I41" s="745"/>
      <c r="J41" s="746"/>
      <c r="K41" s="747"/>
      <c r="L41" s="746"/>
      <c r="M41" s="747"/>
      <c r="N41" s="746"/>
      <c r="O41" s="748"/>
      <c r="P41" s="746"/>
      <c r="Q41" s="747"/>
      <c r="R41" s="746"/>
      <c r="S41" s="747"/>
      <c r="T41" s="746"/>
      <c r="U41" s="440">
        <f t="shared" si="0"/>
        <v>0</v>
      </c>
      <c r="V41" s="441">
        <f t="shared" si="1"/>
        <v>0</v>
      </c>
      <c r="W41" s="870">
        <f>'t1'!N40</f>
        <v>0</v>
      </c>
    </row>
    <row r="42" spans="1:23" ht="12" customHeight="1">
      <c r="A42" s="152" t="str">
        <f>'t1'!A41</f>
        <v>POSIZIONE ECONOMICA B2</v>
      </c>
      <c r="B42" s="224" t="str">
        <f>'t1'!B41</f>
        <v>032000</v>
      </c>
      <c r="C42" s="745"/>
      <c r="D42" s="746"/>
      <c r="E42" s="745"/>
      <c r="F42" s="747"/>
      <c r="G42" s="745"/>
      <c r="H42" s="747"/>
      <c r="I42" s="745"/>
      <c r="J42" s="746"/>
      <c r="K42" s="747"/>
      <c r="L42" s="746"/>
      <c r="M42" s="747"/>
      <c r="N42" s="746"/>
      <c r="O42" s="748"/>
      <c r="P42" s="746"/>
      <c r="Q42" s="747"/>
      <c r="R42" s="746"/>
      <c r="S42" s="747"/>
      <c r="T42" s="746"/>
      <c r="U42" s="440">
        <f t="shared" si="0"/>
        <v>0</v>
      </c>
      <c r="V42" s="441">
        <f t="shared" si="1"/>
        <v>0</v>
      </c>
      <c r="W42" s="870">
        <f>'t1'!N41</f>
        <v>0</v>
      </c>
    </row>
    <row r="43" spans="1:23" ht="12" customHeight="1">
      <c r="A43" s="152" t="str">
        <f>'t1'!A42</f>
        <v>POSIZIONE ECONOMICA DI ACCESSO B1</v>
      </c>
      <c r="B43" s="224" t="str">
        <f>'t1'!B42</f>
        <v>054000</v>
      </c>
      <c r="C43" s="745"/>
      <c r="D43" s="746"/>
      <c r="E43" s="745"/>
      <c r="F43" s="747"/>
      <c r="G43" s="745"/>
      <c r="H43" s="747"/>
      <c r="I43" s="745"/>
      <c r="J43" s="746"/>
      <c r="K43" s="747"/>
      <c r="L43" s="746"/>
      <c r="M43" s="747"/>
      <c r="N43" s="746"/>
      <c r="O43" s="748"/>
      <c r="P43" s="746"/>
      <c r="Q43" s="747"/>
      <c r="R43" s="746"/>
      <c r="S43" s="747"/>
      <c r="T43" s="746"/>
      <c r="U43" s="440">
        <f t="shared" si="0"/>
        <v>0</v>
      </c>
      <c r="V43" s="441">
        <f t="shared" si="1"/>
        <v>0</v>
      </c>
      <c r="W43" s="870">
        <f>'t1'!N42</f>
        <v>0</v>
      </c>
    </row>
    <row r="44" spans="1:23" ht="12" customHeight="1">
      <c r="A44" s="152" t="str">
        <f>'t1'!A43</f>
        <v>POSIZIONE ECONOMICA A5</v>
      </c>
      <c r="B44" s="224" t="str">
        <f>'t1'!B43</f>
        <v>0A5000</v>
      </c>
      <c r="C44" s="745"/>
      <c r="D44" s="746"/>
      <c r="E44" s="745"/>
      <c r="F44" s="747"/>
      <c r="G44" s="745"/>
      <c r="H44" s="747"/>
      <c r="I44" s="745"/>
      <c r="J44" s="746"/>
      <c r="K44" s="747"/>
      <c r="L44" s="746"/>
      <c r="M44" s="747"/>
      <c r="N44" s="746"/>
      <c r="O44" s="748"/>
      <c r="P44" s="746"/>
      <c r="Q44" s="747"/>
      <c r="R44" s="746"/>
      <c r="S44" s="747"/>
      <c r="T44" s="746"/>
      <c r="U44" s="440">
        <f t="shared" si="0"/>
        <v>0</v>
      </c>
      <c r="V44" s="441">
        <f t="shared" si="1"/>
        <v>0</v>
      </c>
      <c r="W44" s="870">
        <f>'t1'!N43</f>
        <v>0</v>
      </c>
    </row>
    <row r="45" spans="1:23" ht="12" customHeight="1">
      <c r="A45" s="152" t="str">
        <f>'t1'!A44</f>
        <v>POSIZIONE ECONOMICA A4</v>
      </c>
      <c r="B45" s="224" t="str">
        <f>'t1'!B44</f>
        <v>028000</v>
      </c>
      <c r="C45" s="745"/>
      <c r="D45" s="746"/>
      <c r="E45" s="745"/>
      <c r="F45" s="747"/>
      <c r="G45" s="745"/>
      <c r="H45" s="747"/>
      <c r="I45" s="745"/>
      <c r="J45" s="746"/>
      <c r="K45" s="747"/>
      <c r="L45" s="746"/>
      <c r="M45" s="747"/>
      <c r="N45" s="746"/>
      <c r="O45" s="748"/>
      <c r="P45" s="746"/>
      <c r="Q45" s="747"/>
      <c r="R45" s="746"/>
      <c r="S45" s="747"/>
      <c r="T45" s="746"/>
      <c r="U45" s="440">
        <f t="shared" si="0"/>
        <v>0</v>
      </c>
      <c r="V45" s="441">
        <f t="shared" si="1"/>
        <v>0</v>
      </c>
      <c r="W45" s="870">
        <f>'t1'!N44</f>
        <v>0</v>
      </c>
    </row>
    <row r="46" spans="1:23" ht="12" customHeight="1">
      <c r="A46" s="152" t="str">
        <f>'t1'!A45</f>
        <v>POSIZIONE ECONOMICA A3</v>
      </c>
      <c r="B46" s="224" t="str">
        <f>'t1'!B45</f>
        <v>027000</v>
      </c>
      <c r="C46" s="745"/>
      <c r="D46" s="746"/>
      <c r="E46" s="745"/>
      <c r="F46" s="747"/>
      <c r="G46" s="745"/>
      <c r="H46" s="747"/>
      <c r="I46" s="745"/>
      <c r="J46" s="746"/>
      <c r="K46" s="747"/>
      <c r="L46" s="746"/>
      <c r="M46" s="747"/>
      <c r="N46" s="746"/>
      <c r="O46" s="748"/>
      <c r="P46" s="746"/>
      <c r="Q46" s="747"/>
      <c r="R46" s="746"/>
      <c r="S46" s="747"/>
      <c r="T46" s="746"/>
      <c r="U46" s="440">
        <f t="shared" si="0"/>
        <v>0</v>
      </c>
      <c r="V46" s="441">
        <f t="shared" si="1"/>
        <v>0</v>
      </c>
      <c r="W46" s="870">
        <f>'t1'!N45</f>
        <v>0</v>
      </c>
    </row>
    <row r="47" spans="1:23" ht="12" customHeight="1">
      <c r="A47" s="152" t="str">
        <f>'t1'!A46</f>
        <v>POSIZIONE ECONOMICA A2</v>
      </c>
      <c r="B47" s="224" t="str">
        <f>'t1'!B46</f>
        <v>025000</v>
      </c>
      <c r="C47" s="745"/>
      <c r="D47" s="746"/>
      <c r="E47" s="745"/>
      <c r="F47" s="747"/>
      <c r="G47" s="745"/>
      <c r="H47" s="747"/>
      <c r="I47" s="745"/>
      <c r="J47" s="746"/>
      <c r="K47" s="747"/>
      <c r="L47" s="746"/>
      <c r="M47" s="747"/>
      <c r="N47" s="746"/>
      <c r="O47" s="748"/>
      <c r="P47" s="746"/>
      <c r="Q47" s="747"/>
      <c r="R47" s="746"/>
      <c r="S47" s="747"/>
      <c r="T47" s="746"/>
      <c r="U47" s="440">
        <f t="shared" si="0"/>
        <v>0</v>
      </c>
      <c r="V47" s="441">
        <f t="shared" si="1"/>
        <v>0</v>
      </c>
      <c r="W47" s="870">
        <f>'t1'!N46</f>
        <v>0</v>
      </c>
    </row>
    <row r="48" spans="1:23" ht="12" customHeight="1">
      <c r="A48" s="152" t="str">
        <f>'t1'!A47</f>
        <v>POSIZIONE ECONOMICA DI ACCESSO A1</v>
      </c>
      <c r="B48" s="224" t="str">
        <f>'t1'!B47</f>
        <v>053000</v>
      </c>
      <c r="C48" s="745"/>
      <c r="D48" s="746"/>
      <c r="E48" s="745"/>
      <c r="F48" s="747"/>
      <c r="G48" s="745"/>
      <c r="H48" s="747"/>
      <c r="I48" s="745"/>
      <c r="J48" s="746"/>
      <c r="K48" s="747"/>
      <c r="L48" s="746"/>
      <c r="M48" s="747"/>
      <c r="N48" s="746"/>
      <c r="O48" s="748"/>
      <c r="P48" s="746"/>
      <c r="Q48" s="747"/>
      <c r="R48" s="746"/>
      <c r="S48" s="747"/>
      <c r="T48" s="746"/>
      <c r="U48" s="440">
        <f t="shared" si="0"/>
        <v>0</v>
      </c>
      <c r="V48" s="441">
        <f t="shared" si="1"/>
        <v>0</v>
      </c>
      <c r="W48" s="870">
        <f>'t1'!N47</f>
        <v>0</v>
      </c>
    </row>
    <row r="49" spans="1:23" ht="12" customHeight="1">
      <c r="A49" s="152" t="str">
        <f>'t1'!A48</f>
        <v>CONTRATTISTI (a)</v>
      </c>
      <c r="B49" s="224" t="str">
        <f>'t1'!B48</f>
        <v>000061</v>
      </c>
      <c r="C49" s="745"/>
      <c r="D49" s="746"/>
      <c r="E49" s="745"/>
      <c r="F49" s="747"/>
      <c r="G49" s="745"/>
      <c r="H49" s="747"/>
      <c r="I49" s="745"/>
      <c r="J49" s="746"/>
      <c r="K49" s="747"/>
      <c r="L49" s="746"/>
      <c r="M49" s="747"/>
      <c r="N49" s="746"/>
      <c r="O49" s="748"/>
      <c r="P49" s="746"/>
      <c r="Q49" s="747"/>
      <c r="R49" s="746"/>
      <c r="S49" s="747"/>
      <c r="T49" s="746"/>
      <c r="U49" s="440">
        <f t="shared" si="0"/>
        <v>0</v>
      </c>
      <c r="V49" s="441">
        <f t="shared" si="1"/>
        <v>0</v>
      </c>
      <c r="W49" s="870">
        <f>'t1'!N48</f>
        <v>0</v>
      </c>
    </row>
    <row r="50" spans="1:23" ht="12" customHeight="1" thickBot="1">
      <c r="A50" s="152" t="str">
        <f>'t1'!A49</f>
        <v>COLLABORATORE A T.D. ART. 90 TUEL (b)</v>
      </c>
      <c r="B50" s="224" t="str">
        <f>'t1'!B49</f>
        <v>000096</v>
      </c>
      <c r="C50" s="745"/>
      <c r="D50" s="746"/>
      <c r="E50" s="745"/>
      <c r="F50" s="747"/>
      <c r="G50" s="745"/>
      <c r="H50" s="747"/>
      <c r="I50" s="745"/>
      <c r="J50" s="746"/>
      <c r="K50" s="747"/>
      <c r="L50" s="746"/>
      <c r="M50" s="747"/>
      <c r="N50" s="746"/>
      <c r="O50" s="748"/>
      <c r="P50" s="746"/>
      <c r="Q50" s="747"/>
      <c r="R50" s="746"/>
      <c r="S50" s="747"/>
      <c r="T50" s="746"/>
      <c r="U50" s="440">
        <f t="shared" si="0"/>
        <v>0</v>
      </c>
      <c r="V50" s="441">
        <f t="shared" si="1"/>
        <v>0</v>
      </c>
      <c r="W50" s="870">
        <f>'t1'!N49</f>
        <v>0</v>
      </c>
    </row>
    <row r="51" spans="1:23" ht="12.75" customHeight="1" thickTop="1" thickBot="1">
      <c r="A51" s="88" t="s">
        <v>107</v>
      </c>
      <c r="B51" s="89"/>
      <c r="C51" s="442">
        <f>SUM(C7:C50)</f>
        <v>1</v>
      </c>
      <c r="D51" s="444">
        <f>SUM(D7:D50)</f>
        <v>1</v>
      </c>
      <c r="E51" s="536">
        <f>SUM(E7:E50)</f>
        <v>0</v>
      </c>
      <c r="F51" s="444">
        <f>SUM(F7:F50)</f>
        <v>2</v>
      </c>
      <c r="G51" s="536">
        <f t="shared" ref="G51:O51" si="2">SUM(G7:G50)</f>
        <v>0</v>
      </c>
      <c r="H51" s="444">
        <f t="shared" si="2"/>
        <v>0</v>
      </c>
      <c r="I51" s="536">
        <f t="shared" si="2"/>
        <v>0</v>
      </c>
      <c r="J51" s="444">
        <f t="shared" si="2"/>
        <v>0</v>
      </c>
      <c r="K51" s="536">
        <f t="shared" si="2"/>
        <v>0</v>
      </c>
      <c r="L51" s="444">
        <f t="shared" si="2"/>
        <v>0</v>
      </c>
      <c r="M51" s="536">
        <f t="shared" si="2"/>
        <v>0</v>
      </c>
      <c r="N51" s="444">
        <f t="shared" si="2"/>
        <v>0</v>
      </c>
      <c r="O51" s="536">
        <f t="shared" si="2"/>
        <v>0</v>
      </c>
      <c r="P51" s="444">
        <f t="shared" ref="P51:V51" si="3">SUM(P7:P50)</f>
        <v>0</v>
      </c>
      <c r="Q51" s="536">
        <f t="shared" si="3"/>
        <v>0</v>
      </c>
      <c r="R51" s="444">
        <f t="shared" si="3"/>
        <v>0</v>
      </c>
      <c r="S51" s="536">
        <f t="shared" si="3"/>
        <v>0</v>
      </c>
      <c r="T51" s="444">
        <f t="shared" si="3"/>
        <v>0</v>
      </c>
      <c r="U51" s="442">
        <f t="shared" si="3"/>
        <v>1</v>
      </c>
      <c r="V51" s="443">
        <f t="shared" si="3"/>
        <v>3</v>
      </c>
    </row>
    <row r="53" spans="1:23" ht="9.75" customHeight="1">
      <c r="A53" s="25" t="str">
        <f>'t1'!$A$201</f>
        <v>(a) personale a tempo indeterminato al quale viene applicato un contratto di lavoro di tipo privatistico (es.:tipografico,chimico,edile,metalmeccanico,portierato, ecc.)</v>
      </c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3" s="5" customFormat="1">
      <c r="A54" s="25" t="str">
        <f>'t1'!$A$202</f>
        <v>(b) cfr." istruzioni generali e specifiche di comparto" e "glossario"</v>
      </c>
      <c r="B54" s="7"/>
    </row>
    <row r="55" spans="1:23">
      <c r="A55" s="80" t="s">
        <v>188</v>
      </c>
    </row>
  </sheetData>
  <sheetProtection password="EA98" sheet="1" formatColumns="0" selectLockedCells="1"/>
  <mergeCells count="22">
    <mergeCell ref="J2:V2"/>
    <mergeCell ref="I4:J4"/>
    <mergeCell ref="K4:L4"/>
    <mergeCell ref="U5:V5"/>
    <mergeCell ref="O4:P4"/>
    <mergeCell ref="U4:V4"/>
    <mergeCell ref="G5:H5"/>
    <mergeCell ref="I5:J5"/>
    <mergeCell ref="Q4:R4"/>
    <mergeCell ref="S4:T4"/>
    <mergeCell ref="Q5:R5"/>
    <mergeCell ref="S5:T5"/>
    <mergeCell ref="C5:D5"/>
    <mergeCell ref="A1:P1"/>
    <mergeCell ref="G4:H4"/>
    <mergeCell ref="C4:D4"/>
    <mergeCell ref="E4:F4"/>
    <mergeCell ref="K5:L5"/>
    <mergeCell ref="M5:N5"/>
    <mergeCell ref="O5:P5"/>
    <mergeCell ref="M4:N4"/>
    <mergeCell ref="E5:F5"/>
  </mergeCells>
  <phoneticPr fontId="30" type="noConversion"/>
  <conditionalFormatting sqref="A7:V50">
    <cfRule type="expression" dxfId="12" priority="1" stopIfTrue="1">
      <formula>$W7&gt;0</formula>
    </cfRule>
  </conditionalFormatting>
  <printOptions horizontalCentered="1" verticalCentered="1"/>
  <pageMargins left="0" right="0" top="0.19685039370078741" bottom="0.16" header="0.17" footer="0.16"/>
  <pageSetup paperSize="9" scale="68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>
    <pageSetUpPr fitToPage="1"/>
  </sheetPr>
  <dimension ref="A1:Y52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ColWidth="10.7109375" defaultRowHeight="10.199999999999999"/>
  <cols>
    <col min="1" max="1" width="43.28515625" style="60" customWidth="1"/>
    <col min="2" max="2" width="10.42578125" style="62" customWidth="1"/>
    <col min="3" max="22" width="8.28515625" style="60" customWidth="1"/>
    <col min="23" max="23" width="10" style="60" customWidth="1"/>
    <col min="24" max="24" width="10.7109375" style="60"/>
    <col min="25" max="25" width="0" style="60" hidden="1" customWidth="1"/>
    <col min="26" max="16384" width="10.7109375" style="60"/>
  </cols>
  <sheetData>
    <row r="1" spans="1:25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1442"/>
      <c r="L1" s="1442"/>
      <c r="M1" s="1442"/>
      <c r="N1" s="1442"/>
      <c r="O1" s="1442"/>
      <c r="P1" s="1442"/>
      <c r="Q1" s="1442"/>
      <c r="R1" s="1442"/>
      <c r="S1" s="1442"/>
      <c r="T1" s="1442"/>
      <c r="U1" s="1442"/>
      <c r="V1" s="1442"/>
      <c r="X1" s="311"/>
    </row>
    <row r="2" spans="1:25" ht="30" customHeight="1" thickBot="1">
      <c r="A2" s="61"/>
      <c r="P2" s="1443"/>
      <c r="Q2" s="1443"/>
      <c r="R2" s="1443"/>
      <c r="S2" s="1443"/>
      <c r="T2" s="1443"/>
      <c r="U2" s="1443"/>
      <c r="V2" s="1443"/>
      <c r="W2" s="1443"/>
      <c r="X2" s="1443"/>
    </row>
    <row r="3" spans="1:25" ht="16.5" customHeight="1" thickBot="1">
      <c r="A3" s="63"/>
      <c r="B3" s="64"/>
      <c r="C3" s="65" t="s">
        <v>287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/>
      <c r="U3" s="66"/>
      <c r="V3" s="67"/>
      <c r="W3" s="66"/>
      <c r="X3" s="67"/>
    </row>
    <row r="4" spans="1:25" ht="16.5" customHeight="1" thickTop="1">
      <c r="A4" s="277" t="s">
        <v>185</v>
      </c>
      <c r="B4" s="68" t="s">
        <v>103</v>
      </c>
      <c r="C4" s="1472" t="s">
        <v>124</v>
      </c>
      <c r="D4" s="1473"/>
      <c r="E4" s="1472" t="s">
        <v>125</v>
      </c>
      <c r="F4" s="1473"/>
      <c r="G4" s="1472" t="s">
        <v>126</v>
      </c>
      <c r="H4" s="1473"/>
      <c r="I4" s="1472" t="s">
        <v>127</v>
      </c>
      <c r="J4" s="1473"/>
      <c r="K4" s="1472" t="s">
        <v>128</v>
      </c>
      <c r="L4" s="1473"/>
      <c r="M4" s="1472" t="s">
        <v>129</v>
      </c>
      <c r="N4" s="1473"/>
      <c r="O4" s="1472" t="s">
        <v>130</v>
      </c>
      <c r="P4" s="1473"/>
      <c r="Q4" s="1472" t="s">
        <v>131</v>
      </c>
      <c r="R4" s="1473"/>
      <c r="S4" s="1472" t="s">
        <v>633</v>
      </c>
      <c r="T4" s="1473"/>
      <c r="U4" s="1472" t="s">
        <v>634</v>
      </c>
      <c r="V4" s="1473"/>
      <c r="W4" s="69" t="s">
        <v>107</v>
      </c>
      <c r="X4" s="140"/>
    </row>
    <row r="5" spans="1:25" ht="10.8" thickBot="1">
      <c r="A5" s="877" t="s">
        <v>825</v>
      </c>
      <c r="B5" s="70"/>
      <c r="C5" s="71" t="s">
        <v>122</v>
      </c>
      <c r="D5" s="72" t="s">
        <v>123</v>
      </c>
      <c r="E5" s="71" t="s">
        <v>122</v>
      </c>
      <c r="F5" s="72" t="s">
        <v>123</v>
      </c>
      <c r="G5" s="71" t="s">
        <v>122</v>
      </c>
      <c r="H5" s="72" t="s">
        <v>123</v>
      </c>
      <c r="I5" s="71" t="s">
        <v>122</v>
      </c>
      <c r="J5" s="72" t="s">
        <v>123</v>
      </c>
      <c r="K5" s="71" t="s">
        <v>122</v>
      </c>
      <c r="L5" s="72" t="s">
        <v>123</v>
      </c>
      <c r="M5" s="71" t="s">
        <v>122</v>
      </c>
      <c r="N5" s="72" t="s">
        <v>123</v>
      </c>
      <c r="O5" s="71" t="s">
        <v>122</v>
      </c>
      <c r="P5" s="72" t="s">
        <v>123</v>
      </c>
      <c r="Q5" s="71" t="s">
        <v>122</v>
      </c>
      <c r="R5" s="72" t="s">
        <v>123</v>
      </c>
      <c r="S5" s="71" t="s">
        <v>122</v>
      </c>
      <c r="T5" s="73" t="s">
        <v>123</v>
      </c>
      <c r="U5" s="71" t="s">
        <v>122</v>
      </c>
      <c r="V5" s="73" t="s">
        <v>123</v>
      </c>
      <c r="W5" s="71" t="s">
        <v>122</v>
      </c>
      <c r="X5" s="73" t="s">
        <v>123</v>
      </c>
    </row>
    <row r="6" spans="1:25" ht="12.75" customHeight="1" thickTop="1">
      <c r="A6" s="152" t="str">
        <f>'t1'!A6</f>
        <v>SEGRETARIO A</v>
      </c>
      <c r="B6" s="224" t="str">
        <f>'t1'!B6</f>
        <v>0D0102</v>
      </c>
      <c r="C6" s="234"/>
      <c r="D6" s="235"/>
      <c r="E6" s="234"/>
      <c r="F6" s="235"/>
      <c r="G6" s="234"/>
      <c r="H6" s="235"/>
      <c r="I6" s="234"/>
      <c r="J6" s="235"/>
      <c r="K6" s="234"/>
      <c r="L6" s="235"/>
      <c r="M6" s="236"/>
      <c r="N6" s="237"/>
      <c r="O6" s="234"/>
      <c r="P6" s="235"/>
      <c r="Q6" s="234"/>
      <c r="R6" s="235"/>
      <c r="S6" s="238"/>
      <c r="T6" s="239"/>
      <c r="U6" s="238"/>
      <c r="V6" s="239"/>
      <c r="W6" s="448">
        <f>SUM(C6,E6,G6,I6,K6,M6,O6,Q6,S6,U6)</f>
        <v>0</v>
      </c>
      <c r="X6" s="449">
        <f>SUM(D6,F6,H6,J6,L6,N6,P6,R6,T6,V6)</f>
        <v>0</v>
      </c>
      <c r="Y6" s="871">
        <f>'t1'!N6</f>
        <v>0</v>
      </c>
    </row>
    <row r="7" spans="1:25" ht="12.75" customHeight="1">
      <c r="A7" s="152" t="str">
        <f>'t1'!A7</f>
        <v>SEGRETARIO B</v>
      </c>
      <c r="B7" s="224" t="str">
        <f>'t1'!B7</f>
        <v>0D0103</v>
      </c>
      <c r="C7" s="234"/>
      <c r="D7" s="235"/>
      <c r="E7" s="234"/>
      <c r="F7" s="235"/>
      <c r="G7" s="234"/>
      <c r="H7" s="235"/>
      <c r="I7" s="234"/>
      <c r="J7" s="235"/>
      <c r="K7" s="234"/>
      <c r="L7" s="235"/>
      <c r="M7" s="236"/>
      <c r="N7" s="237"/>
      <c r="O7" s="234"/>
      <c r="P7" s="235"/>
      <c r="Q7" s="234"/>
      <c r="R7" s="235"/>
      <c r="S7" s="238"/>
      <c r="T7" s="239"/>
      <c r="U7" s="238"/>
      <c r="V7" s="239"/>
      <c r="W7" s="448">
        <f t="shared" ref="W7:W49" si="0">SUM(C7,E7,G7,I7,K7,M7,O7,Q7,S7,U7)</f>
        <v>0</v>
      </c>
      <c r="X7" s="449">
        <f t="shared" ref="X7:X49" si="1">SUM(D7,F7,H7,J7,L7,N7,P7,R7,T7,V7)</f>
        <v>0</v>
      </c>
      <c r="Y7" s="871">
        <f>'t1'!N7</f>
        <v>0</v>
      </c>
    </row>
    <row r="8" spans="1:25" ht="12.75" customHeight="1">
      <c r="A8" s="152" t="str">
        <f>'t1'!A8</f>
        <v>SEGRETARIO C</v>
      </c>
      <c r="B8" s="224" t="str">
        <f>'t1'!B8</f>
        <v>0D0485</v>
      </c>
      <c r="C8" s="234"/>
      <c r="D8" s="235"/>
      <c r="E8" s="234"/>
      <c r="F8" s="235"/>
      <c r="G8" s="234"/>
      <c r="H8" s="235"/>
      <c r="I8" s="234"/>
      <c r="J8" s="235"/>
      <c r="K8" s="234"/>
      <c r="L8" s="235"/>
      <c r="M8" s="236"/>
      <c r="N8" s="237"/>
      <c r="O8" s="234"/>
      <c r="P8" s="235"/>
      <c r="Q8" s="234"/>
      <c r="R8" s="235"/>
      <c r="S8" s="238"/>
      <c r="T8" s="239"/>
      <c r="U8" s="238"/>
      <c r="V8" s="239"/>
      <c r="W8" s="448">
        <f t="shared" si="0"/>
        <v>0</v>
      </c>
      <c r="X8" s="449">
        <f t="shared" si="1"/>
        <v>0</v>
      </c>
      <c r="Y8" s="871">
        <f>'t1'!N8</f>
        <v>0</v>
      </c>
    </row>
    <row r="9" spans="1:25" ht="12.75" customHeight="1">
      <c r="A9" s="152" t="str">
        <f>'t1'!A9</f>
        <v>SEGRETARIO GENERALE CCIAA</v>
      </c>
      <c r="B9" s="224" t="str">
        <f>'t1'!B9</f>
        <v>0D0104</v>
      </c>
      <c r="C9" s="234"/>
      <c r="D9" s="235"/>
      <c r="E9" s="234"/>
      <c r="F9" s="235"/>
      <c r="G9" s="234"/>
      <c r="H9" s="235"/>
      <c r="I9" s="234"/>
      <c r="J9" s="235"/>
      <c r="K9" s="234"/>
      <c r="L9" s="235"/>
      <c r="M9" s="236"/>
      <c r="N9" s="237"/>
      <c r="O9" s="234"/>
      <c r="P9" s="235"/>
      <c r="Q9" s="234"/>
      <c r="R9" s="235"/>
      <c r="S9" s="238"/>
      <c r="T9" s="239"/>
      <c r="U9" s="238"/>
      <c r="V9" s="239"/>
      <c r="W9" s="448">
        <f t="shared" si="0"/>
        <v>0</v>
      </c>
      <c r="X9" s="449">
        <f t="shared" si="1"/>
        <v>0</v>
      </c>
      <c r="Y9" s="871">
        <f>'t1'!N9</f>
        <v>0</v>
      </c>
    </row>
    <row r="10" spans="1:25" ht="12.75" customHeight="1">
      <c r="A10" s="152" t="str">
        <f>'t1'!A10</f>
        <v>DIRETTORE  GENERALE</v>
      </c>
      <c r="B10" s="224" t="str">
        <f>'t1'!B10</f>
        <v>0D0097</v>
      </c>
      <c r="C10" s="234"/>
      <c r="D10" s="235"/>
      <c r="E10" s="234"/>
      <c r="F10" s="235"/>
      <c r="G10" s="234"/>
      <c r="H10" s="235"/>
      <c r="I10" s="234"/>
      <c r="J10" s="235"/>
      <c r="K10" s="234"/>
      <c r="L10" s="235"/>
      <c r="M10" s="236"/>
      <c r="N10" s="237"/>
      <c r="O10" s="234"/>
      <c r="P10" s="235"/>
      <c r="Q10" s="234"/>
      <c r="R10" s="235"/>
      <c r="S10" s="238"/>
      <c r="T10" s="239"/>
      <c r="U10" s="238"/>
      <c r="V10" s="239"/>
      <c r="W10" s="448">
        <f t="shared" si="0"/>
        <v>0</v>
      </c>
      <c r="X10" s="449">
        <f t="shared" si="1"/>
        <v>0</v>
      </c>
      <c r="Y10" s="871">
        <f>'t1'!N10</f>
        <v>0</v>
      </c>
    </row>
    <row r="11" spans="1:25" ht="12.75" customHeight="1">
      <c r="A11" s="152" t="str">
        <f>'t1'!A11</f>
        <v>DIRIGENTE FUORI D.O. art.110 c.2 TUEL</v>
      </c>
      <c r="B11" s="224" t="str">
        <f>'t1'!B11</f>
        <v>0D0098</v>
      </c>
      <c r="C11" s="234"/>
      <c r="D11" s="235"/>
      <c r="E11" s="234"/>
      <c r="F11" s="235"/>
      <c r="G11" s="234"/>
      <c r="H11" s="235"/>
      <c r="I11" s="234"/>
      <c r="J11" s="235"/>
      <c r="K11" s="234"/>
      <c r="L11" s="235"/>
      <c r="M11" s="236"/>
      <c r="N11" s="237"/>
      <c r="O11" s="234"/>
      <c r="P11" s="235"/>
      <c r="Q11" s="234"/>
      <c r="R11" s="235"/>
      <c r="S11" s="238"/>
      <c r="T11" s="239"/>
      <c r="U11" s="238"/>
      <c r="V11" s="239"/>
      <c r="W11" s="448">
        <f t="shared" si="0"/>
        <v>0</v>
      </c>
      <c r="X11" s="449">
        <f t="shared" si="1"/>
        <v>0</v>
      </c>
      <c r="Y11" s="871">
        <f>'t1'!N11</f>
        <v>0</v>
      </c>
    </row>
    <row r="12" spans="1:25" ht="12.75" customHeight="1">
      <c r="A12" s="152" t="str">
        <f>'t1'!A12</f>
        <v>ALTE SPECIALIZZ. FUORI D.O.art.110 c.2 TUEL</v>
      </c>
      <c r="B12" s="224" t="str">
        <f>'t1'!B12</f>
        <v>0D0095</v>
      </c>
      <c r="C12" s="234"/>
      <c r="D12" s="235"/>
      <c r="E12" s="234"/>
      <c r="F12" s="235"/>
      <c r="G12" s="234"/>
      <c r="H12" s="235"/>
      <c r="I12" s="234"/>
      <c r="J12" s="235"/>
      <c r="K12" s="234"/>
      <c r="L12" s="235"/>
      <c r="M12" s="236"/>
      <c r="N12" s="237"/>
      <c r="O12" s="234"/>
      <c r="P12" s="235"/>
      <c r="Q12" s="234"/>
      <c r="R12" s="235"/>
      <c r="S12" s="238"/>
      <c r="T12" s="239"/>
      <c r="U12" s="238"/>
      <c r="V12" s="239"/>
      <c r="W12" s="448">
        <f t="shared" si="0"/>
        <v>0</v>
      </c>
      <c r="X12" s="449">
        <f t="shared" si="1"/>
        <v>0</v>
      </c>
      <c r="Y12" s="871">
        <f>'t1'!N12</f>
        <v>0</v>
      </c>
    </row>
    <row r="13" spans="1:25" ht="12.75" customHeight="1">
      <c r="A13" s="152" t="str">
        <f>'t1'!A13</f>
        <v>DIRIGENTE A TEMPO INDETERMINATO</v>
      </c>
      <c r="B13" s="224" t="str">
        <f>'t1'!B13</f>
        <v>0D0164</v>
      </c>
      <c r="C13" s="234"/>
      <c r="D13" s="235"/>
      <c r="E13" s="234"/>
      <c r="F13" s="235"/>
      <c r="G13" s="234"/>
      <c r="H13" s="235"/>
      <c r="I13" s="234"/>
      <c r="J13" s="235"/>
      <c r="K13" s="234"/>
      <c r="L13" s="235"/>
      <c r="M13" s="236"/>
      <c r="N13" s="237"/>
      <c r="O13" s="234"/>
      <c r="P13" s="235"/>
      <c r="Q13" s="234"/>
      <c r="R13" s="235"/>
      <c r="S13" s="238"/>
      <c r="T13" s="239"/>
      <c r="U13" s="238"/>
      <c r="V13" s="239"/>
      <c r="W13" s="448">
        <f t="shared" si="0"/>
        <v>0</v>
      </c>
      <c r="X13" s="449">
        <f t="shared" si="1"/>
        <v>0</v>
      </c>
      <c r="Y13" s="871">
        <f>'t1'!N13</f>
        <v>0</v>
      </c>
    </row>
    <row r="14" spans="1:25" ht="12.75" customHeight="1">
      <c r="A14" s="152" t="str">
        <f>'t1'!A14</f>
        <v>DIRIGENTE A TEMPO DET.TO  ART.110 C.1 TUEL</v>
      </c>
      <c r="B14" s="224" t="str">
        <f>'t1'!B14</f>
        <v>0D0165</v>
      </c>
      <c r="C14" s="234"/>
      <c r="D14" s="235"/>
      <c r="E14" s="234"/>
      <c r="F14" s="235"/>
      <c r="G14" s="234"/>
      <c r="H14" s="235"/>
      <c r="I14" s="234"/>
      <c r="J14" s="235"/>
      <c r="K14" s="234"/>
      <c r="L14" s="235"/>
      <c r="M14" s="236"/>
      <c r="N14" s="237"/>
      <c r="O14" s="234"/>
      <c r="P14" s="235"/>
      <c r="Q14" s="234"/>
      <c r="R14" s="235"/>
      <c r="S14" s="238"/>
      <c r="T14" s="239"/>
      <c r="U14" s="238"/>
      <c r="V14" s="239"/>
      <c r="W14" s="448">
        <f t="shared" si="0"/>
        <v>0</v>
      </c>
      <c r="X14" s="449">
        <f t="shared" si="1"/>
        <v>0</v>
      </c>
      <c r="Y14" s="871">
        <f>'t1'!N14</f>
        <v>0</v>
      </c>
    </row>
    <row r="15" spans="1:25" ht="12.75" customHeight="1">
      <c r="A15" s="152" t="str">
        <f>'t1'!A15</f>
        <v>ALTE SPECIALIZZ. IN D.O. art.110 c.1 TUEL</v>
      </c>
      <c r="B15" s="224" t="str">
        <f>'t1'!B15</f>
        <v>0D0I95</v>
      </c>
      <c r="C15" s="234"/>
      <c r="D15" s="235"/>
      <c r="E15" s="234"/>
      <c r="F15" s="235"/>
      <c r="G15" s="234"/>
      <c r="H15" s="235"/>
      <c r="I15" s="234"/>
      <c r="J15" s="235"/>
      <c r="K15" s="234"/>
      <c r="L15" s="235"/>
      <c r="M15" s="236"/>
      <c r="N15" s="237"/>
      <c r="O15" s="234"/>
      <c r="P15" s="235"/>
      <c r="Q15" s="234"/>
      <c r="R15" s="235"/>
      <c r="S15" s="238"/>
      <c r="T15" s="239"/>
      <c r="U15" s="238"/>
      <c r="V15" s="239"/>
      <c r="W15" s="448">
        <f t="shared" si="0"/>
        <v>0</v>
      </c>
      <c r="X15" s="449">
        <f t="shared" si="1"/>
        <v>0</v>
      </c>
      <c r="Y15" s="871">
        <f>'t1'!N15</f>
        <v>0</v>
      </c>
    </row>
    <row r="16" spans="1:25" ht="12.75" customHeight="1">
      <c r="A16" s="152" t="str">
        <f>'t1'!A16</f>
        <v>POSIZ. ECON. D6 - PROFILI ACCESSO D3</v>
      </c>
      <c r="B16" s="224" t="str">
        <f>'t1'!B16</f>
        <v>0D6A00</v>
      </c>
      <c r="C16" s="234"/>
      <c r="D16" s="235"/>
      <c r="E16" s="234"/>
      <c r="F16" s="235"/>
      <c r="G16" s="234"/>
      <c r="H16" s="235"/>
      <c r="I16" s="234"/>
      <c r="J16" s="235"/>
      <c r="K16" s="234"/>
      <c r="L16" s="235"/>
      <c r="M16" s="236"/>
      <c r="N16" s="237"/>
      <c r="O16" s="234"/>
      <c r="P16" s="235"/>
      <c r="Q16" s="234"/>
      <c r="R16" s="235"/>
      <c r="S16" s="238"/>
      <c r="T16" s="239"/>
      <c r="U16" s="238"/>
      <c r="V16" s="239"/>
      <c r="W16" s="448">
        <f t="shared" si="0"/>
        <v>0</v>
      </c>
      <c r="X16" s="449">
        <f t="shared" si="1"/>
        <v>0</v>
      </c>
      <c r="Y16" s="871">
        <f>'t1'!N16</f>
        <v>0</v>
      </c>
    </row>
    <row r="17" spans="1:25" ht="12.75" customHeight="1">
      <c r="A17" s="152" t="str">
        <f>'t1'!A17</f>
        <v>POSIZ. ECON. D6 - PROFILO ACCESSO D1</v>
      </c>
      <c r="B17" s="224" t="str">
        <f>'t1'!B17</f>
        <v>0D6000</v>
      </c>
      <c r="C17" s="234"/>
      <c r="D17" s="235"/>
      <c r="E17" s="234"/>
      <c r="F17" s="235"/>
      <c r="G17" s="234"/>
      <c r="H17" s="235"/>
      <c r="I17" s="234"/>
      <c r="J17" s="235"/>
      <c r="K17" s="234"/>
      <c r="L17" s="235"/>
      <c r="M17" s="236"/>
      <c r="N17" s="237"/>
      <c r="O17" s="234"/>
      <c r="P17" s="235"/>
      <c r="Q17" s="234"/>
      <c r="R17" s="235"/>
      <c r="S17" s="238"/>
      <c r="T17" s="239"/>
      <c r="U17" s="238"/>
      <c r="V17" s="239"/>
      <c r="W17" s="448">
        <f t="shared" si="0"/>
        <v>0</v>
      </c>
      <c r="X17" s="449">
        <f t="shared" si="1"/>
        <v>0</v>
      </c>
      <c r="Y17" s="871">
        <f>'t1'!N17</f>
        <v>0</v>
      </c>
    </row>
    <row r="18" spans="1:25" ht="12.75" customHeight="1">
      <c r="A18" s="152" t="str">
        <f>'t1'!A18</f>
        <v>POSIZ. ECON. D5 PROFILI ACCESSO D3</v>
      </c>
      <c r="B18" s="224" t="str">
        <f>'t1'!B18</f>
        <v>052486</v>
      </c>
      <c r="C18" s="234"/>
      <c r="D18" s="235"/>
      <c r="E18" s="234"/>
      <c r="F18" s="235"/>
      <c r="G18" s="234"/>
      <c r="H18" s="235"/>
      <c r="I18" s="234"/>
      <c r="J18" s="235"/>
      <c r="K18" s="234"/>
      <c r="L18" s="235"/>
      <c r="M18" s="236"/>
      <c r="N18" s="237"/>
      <c r="O18" s="234"/>
      <c r="P18" s="235"/>
      <c r="Q18" s="234"/>
      <c r="R18" s="235"/>
      <c r="S18" s="238"/>
      <c r="T18" s="239"/>
      <c r="U18" s="238"/>
      <c r="V18" s="239"/>
      <c r="W18" s="448">
        <f t="shared" si="0"/>
        <v>0</v>
      </c>
      <c r="X18" s="449">
        <f t="shared" si="1"/>
        <v>0</v>
      </c>
      <c r="Y18" s="871">
        <f>'t1'!N18</f>
        <v>0</v>
      </c>
    </row>
    <row r="19" spans="1:25" ht="12.75" customHeight="1">
      <c r="A19" s="152" t="str">
        <f>'t1'!A19</f>
        <v>POSIZ. ECON. D5 PROFILI ACCESSO D1</v>
      </c>
      <c r="B19" s="224" t="str">
        <f>'t1'!B19</f>
        <v>052487</v>
      </c>
      <c r="C19" s="234"/>
      <c r="D19" s="235"/>
      <c r="E19" s="234"/>
      <c r="F19" s="235"/>
      <c r="G19" s="234"/>
      <c r="H19" s="235"/>
      <c r="I19" s="234"/>
      <c r="J19" s="235"/>
      <c r="K19" s="234"/>
      <c r="L19" s="235"/>
      <c r="M19" s="236"/>
      <c r="N19" s="237"/>
      <c r="O19" s="234"/>
      <c r="P19" s="235"/>
      <c r="Q19" s="234"/>
      <c r="R19" s="235"/>
      <c r="S19" s="238"/>
      <c r="T19" s="239"/>
      <c r="U19" s="238"/>
      <c r="V19" s="239"/>
      <c r="W19" s="448">
        <f t="shared" si="0"/>
        <v>0</v>
      </c>
      <c r="X19" s="449">
        <f t="shared" si="1"/>
        <v>0</v>
      </c>
      <c r="Y19" s="871">
        <f>'t1'!N19</f>
        <v>0</v>
      </c>
    </row>
    <row r="20" spans="1:25" ht="12.75" customHeight="1">
      <c r="A20" s="152" t="str">
        <f>'t1'!A20</f>
        <v>POSIZ. ECON. D4 PROFILI ACCESSO D3</v>
      </c>
      <c r="B20" s="224" t="str">
        <f>'t1'!B20</f>
        <v>051488</v>
      </c>
      <c r="C20" s="234"/>
      <c r="D20" s="235"/>
      <c r="E20" s="234"/>
      <c r="F20" s="235"/>
      <c r="G20" s="234"/>
      <c r="H20" s="235"/>
      <c r="I20" s="234"/>
      <c r="J20" s="235"/>
      <c r="K20" s="234"/>
      <c r="L20" s="235"/>
      <c r="M20" s="236"/>
      <c r="N20" s="237"/>
      <c r="O20" s="234"/>
      <c r="P20" s="235"/>
      <c r="Q20" s="234"/>
      <c r="R20" s="235"/>
      <c r="S20" s="238"/>
      <c r="T20" s="239"/>
      <c r="U20" s="238"/>
      <c r="V20" s="239"/>
      <c r="W20" s="448">
        <f t="shared" si="0"/>
        <v>0</v>
      </c>
      <c r="X20" s="449">
        <f t="shared" si="1"/>
        <v>0</v>
      </c>
      <c r="Y20" s="871">
        <f>'t1'!N20</f>
        <v>0</v>
      </c>
    </row>
    <row r="21" spans="1:25" ht="12.75" customHeight="1">
      <c r="A21" s="152" t="str">
        <f>'t1'!A21</f>
        <v>POSIZ. ECON. D4 PROFILI ACCESSO D1</v>
      </c>
      <c r="B21" s="224" t="str">
        <f>'t1'!B21</f>
        <v>051489</v>
      </c>
      <c r="C21" s="234"/>
      <c r="D21" s="235"/>
      <c r="E21" s="234"/>
      <c r="F21" s="235"/>
      <c r="G21" s="234"/>
      <c r="H21" s="235"/>
      <c r="I21" s="234"/>
      <c r="J21" s="235"/>
      <c r="K21" s="234"/>
      <c r="L21" s="235"/>
      <c r="M21" s="236"/>
      <c r="N21" s="237"/>
      <c r="O21" s="234"/>
      <c r="P21" s="235"/>
      <c r="Q21" s="234"/>
      <c r="R21" s="235"/>
      <c r="S21" s="238"/>
      <c r="T21" s="239"/>
      <c r="U21" s="238"/>
      <c r="V21" s="239"/>
      <c r="W21" s="448">
        <f t="shared" si="0"/>
        <v>0</v>
      </c>
      <c r="X21" s="449">
        <f t="shared" si="1"/>
        <v>0</v>
      </c>
      <c r="Y21" s="871">
        <f>'t1'!N21</f>
        <v>0</v>
      </c>
    </row>
    <row r="22" spans="1:25" ht="12.75" customHeight="1">
      <c r="A22" s="152" t="str">
        <f>'t1'!A22</f>
        <v>POSIZIONE ECONOMICA DI ACCESSO D3</v>
      </c>
      <c r="B22" s="224" t="str">
        <f>'t1'!B22</f>
        <v>058000</v>
      </c>
      <c r="C22" s="234"/>
      <c r="D22" s="235"/>
      <c r="E22" s="234"/>
      <c r="F22" s="235"/>
      <c r="G22" s="234"/>
      <c r="H22" s="235"/>
      <c r="I22" s="234"/>
      <c r="J22" s="235"/>
      <c r="K22" s="234"/>
      <c r="L22" s="235"/>
      <c r="M22" s="236"/>
      <c r="N22" s="237"/>
      <c r="O22" s="234"/>
      <c r="P22" s="235"/>
      <c r="Q22" s="234"/>
      <c r="R22" s="235"/>
      <c r="S22" s="238"/>
      <c r="T22" s="239"/>
      <c r="U22" s="238"/>
      <c r="V22" s="239"/>
      <c r="W22" s="448">
        <f t="shared" si="0"/>
        <v>0</v>
      </c>
      <c r="X22" s="449">
        <f t="shared" si="1"/>
        <v>0</v>
      </c>
      <c r="Y22" s="871">
        <f>'t1'!N22</f>
        <v>0</v>
      </c>
    </row>
    <row r="23" spans="1:25" ht="12.75" customHeight="1">
      <c r="A23" s="152" t="str">
        <f>'t1'!A23</f>
        <v>POSIZIONE ECONOMICA D3</v>
      </c>
      <c r="B23" s="224" t="str">
        <f>'t1'!B23</f>
        <v>050000</v>
      </c>
      <c r="C23" s="234"/>
      <c r="D23" s="235"/>
      <c r="E23" s="234"/>
      <c r="F23" s="235"/>
      <c r="G23" s="234"/>
      <c r="H23" s="235"/>
      <c r="I23" s="234"/>
      <c r="J23" s="235"/>
      <c r="K23" s="234"/>
      <c r="L23" s="235"/>
      <c r="M23" s="236"/>
      <c r="N23" s="237"/>
      <c r="O23" s="234"/>
      <c r="P23" s="235"/>
      <c r="Q23" s="234"/>
      <c r="R23" s="235"/>
      <c r="S23" s="238"/>
      <c r="T23" s="239"/>
      <c r="U23" s="238"/>
      <c r="V23" s="239"/>
      <c r="W23" s="448">
        <f t="shared" si="0"/>
        <v>0</v>
      </c>
      <c r="X23" s="449">
        <f t="shared" si="1"/>
        <v>0</v>
      </c>
      <c r="Y23" s="871">
        <f>'t1'!N23</f>
        <v>0</v>
      </c>
    </row>
    <row r="24" spans="1:25" ht="12.75" customHeight="1">
      <c r="A24" s="152" t="str">
        <f>'t1'!A24</f>
        <v>POSIZIONE ECONOMICA D2</v>
      </c>
      <c r="B24" s="224" t="str">
        <f>'t1'!B24</f>
        <v>049000</v>
      </c>
      <c r="C24" s="234"/>
      <c r="D24" s="235"/>
      <c r="E24" s="234"/>
      <c r="F24" s="235"/>
      <c r="G24" s="234"/>
      <c r="H24" s="235"/>
      <c r="I24" s="234"/>
      <c r="J24" s="235"/>
      <c r="K24" s="234"/>
      <c r="L24" s="235"/>
      <c r="M24" s="236"/>
      <c r="N24" s="237"/>
      <c r="O24" s="234"/>
      <c r="P24" s="235"/>
      <c r="Q24" s="234"/>
      <c r="R24" s="235"/>
      <c r="S24" s="238"/>
      <c r="T24" s="239"/>
      <c r="U24" s="238"/>
      <c r="V24" s="239"/>
      <c r="W24" s="448">
        <f t="shared" si="0"/>
        <v>0</v>
      </c>
      <c r="X24" s="449">
        <f t="shared" si="1"/>
        <v>0</v>
      </c>
      <c r="Y24" s="871">
        <f>'t1'!N24</f>
        <v>0</v>
      </c>
    </row>
    <row r="25" spans="1:25" ht="12.75" customHeight="1">
      <c r="A25" s="152" t="str">
        <f>'t1'!A25</f>
        <v>POSIZIONE ECONOMICA DI ACCESSO D1</v>
      </c>
      <c r="B25" s="224" t="str">
        <f>'t1'!B25</f>
        <v>057000</v>
      </c>
      <c r="C25" s="234">
        <v>1</v>
      </c>
      <c r="D25" s="235"/>
      <c r="E25" s="234"/>
      <c r="F25" s="235"/>
      <c r="G25" s="234"/>
      <c r="H25" s="235"/>
      <c r="I25" s="234"/>
      <c r="J25" s="235"/>
      <c r="K25" s="234"/>
      <c r="L25" s="235"/>
      <c r="M25" s="236"/>
      <c r="N25" s="237"/>
      <c r="O25" s="234"/>
      <c r="P25" s="235"/>
      <c r="Q25" s="234"/>
      <c r="R25" s="235"/>
      <c r="S25" s="238"/>
      <c r="T25" s="239"/>
      <c r="U25" s="238"/>
      <c r="V25" s="239"/>
      <c r="W25" s="448">
        <f t="shared" si="0"/>
        <v>1</v>
      </c>
      <c r="X25" s="449">
        <f t="shared" si="1"/>
        <v>0</v>
      </c>
      <c r="Y25" s="871">
        <f>'t1'!N25</f>
        <v>1</v>
      </c>
    </row>
    <row r="26" spans="1:25" ht="12.75" customHeight="1">
      <c r="A26" s="152" t="str">
        <f>'t1'!A26</f>
        <v>POSIZIONE ECONOMICA C5</v>
      </c>
      <c r="B26" s="224" t="str">
        <f>'t1'!B26</f>
        <v>046000</v>
      </c>
      <c r="C26" s="234"/>
      <c r="D26" s="235"/>
      <c r="E26" s="234"/>
      <c r="F26" s="235"/>
      <c r="G26" s="234"/>
      <c r="H26" s="235"/>
      <c r="I26" s="234"/>
      <c r="J26" s="235"/>
      <c r="K26" s="234"/>
      <c r="L26" s="235"/>
      <c r="M26" s="236"/>
      <c r="N26" s="237"/>
      <c r="O26" s="234"/>
      <c r="P26" s="235"/>
      <c r="Q26" s="234"/>
      <c r="R26" s="235"/>
      <c r="S26" s="238"/>
      <c r="T26" s="239"/>
      <c r="U26" s="238"/>
      <c r="V26" s="239"/>
      <c r="W26" s="448">
        <f t="shared" si="0"/>
        <v>0</v>
      </c>
      <c r="X26" s="449">
        <f t="shared" si="1"/>
        <v>0</v>
      </c>
      <c r="Y26" s="871">
        <f>'t1'!N26</f>
        <v>0</v>
      </c>
    </row>
    <row r="27" spans="1:25" ht="12.75" customHeight="1">
      <c r="A27" s="152" t="str">
        <f>'t1'!A27</f>
        <v>POSIZIONE ECONOMICA C4</v>
      </c>
      <c r="B27" s="224" t="str">
        <f>'t1'!B27</f>
        <v>045000</v>
      </c>
      <c r="C27" s="234"/>
      <c r="D27" s="235"/>
      <c r="E27" s="234"/>
      <c r="F27" s="235"/>
      <c r="G27" s="234"/>
      <c r="H27" s="235"/>
      <c r="I27" s="234"/>
      <c r="J27" s="235"/>
      <c r="K27" s="234"/>
      <c r="L27" s="235"/>
      <c r="M27" s="236"/>
      <c r="N27" s="237"/>
      <c r="O27" s="234"/>
      <c r="P27" s="235"/>
      <c r="Q27" s="234"/>
      <c r="R27" s="235"/>
      <c r="S27" s="238"/>
      <c r="T27" s="239"/>
      <c r="U27" s="238"/>
      <c r="V27" s="239"/>
      <c r="W27" s="448">
        <f t="shared" si="0"/>
        <v>0</v>
      </c>
      <c r="X27" s="449">
        <f t="shared" si="1"/>
        <v>0</v>
      </c>
      <c r="Y27" s="871">
        <f>'t1'!N27</f>
        <v>0</v>
      </c>
    </row>
    <row r="28" spans="1:25" ht="12.75" customHeight="1">
      <c r="A28" s="152" t="str">
        <f>'t1'!A28</f>
        <v>POSIZIONE ECONOMICA C3</v>
      </c>
      <c r="B28" s="224" t="str">
        <f>'t1'!B28</f>
        <v>043000</v>
      </c>
      <c r="C28" s="234"/>
      <c r="D28" s="235"/>
      <c r="E28" s="234"/>
      <c r="F28" s="235"/>
      <c r="G28" s="234"/>
      <c r="H28" s="235"/>
      <c r="I28" s="234"/>
      <c r="J28" s="235"/>
      <c r="K28" s="234"/>
      <c r="L28" s="235"/>
      <c r="M28" s="236"/>
      <c r="N28" s="237"/>
      <c r="O28" s="234"/>
      <c r="P28" s="235"/>
      <c r="Q28" s="234"/>
      <c r="R28" s="235"/>
      <c r="S28" s="238"/>
      <c r="T28" s="239"/>
      <c r="U28" s="238"/>
      <c r="V28" s="239"/>
      <c r="W28" s="448">
        <f t="shared" si="0"/>
        <v>0</v>
      </c>
      <c r="X28" s="449">
        <f t="shared" si="1"/>
        <v>0</v>
      </c>
      <c r="Y28" s="871">
        <f>'t1'!N28</f>
        <v>0</v>
      </c>
    </row>
    <row r="29" spans="1:25" ht="12.75" customHeight="1">
      <c r="A29" s="152" t="str">
        <f>'t1'!A29</f>
        <v>POSIZIONE ECONOMICA C2</v>
      </c>
      <c r="B29" s="224" t="str">
        <f>'t1'!B29</f>
        <v>042000</v>
      </c>
      <c r="C29" s="234"/>
      <c r="D29" s="235"/>
      <c r="E29" s="234"/>
      <c r="F29" s="235"/>
      <c r="G29" s="234"/>
      <c r="H29" s="235"/>
      <c r="I29" s="234"/>
      <c r="J29" s="235"/>
      <c r="K29" s="234"/>
      <c r="L29" s="235">
        <v>1</v>
      </c>
      <c r="M29" s="236"/>
      <c r="N29" s="237"/>
      <c r="O29" s="234"/>
      <c r="P29" s="235"/>
      <c r="Q29" s="234"/>
      <c r="R29" s="235"/>
      <c r="S29" s="238"/>
      <c r="T29" s="239"/>
      <c r="U29" s="238"/>
      <c r="V29" s="239"/>
      <c r="W29" s="448">
        <f t="shared" si="0"/>
        <v>0</v>
      </c>
      <c r="X29" s="449">
        <f t="shared" si="1"/>
        <v>1</v>
      </c>
      <c r="Y29" s="871">
        <f>'t1'!N29</f>
        <v>1</v>
      </c>
    </row>
    <row r="30" spans="1:25" ht="12.75" customHeight="1">
      <c r="A30" s="152" t="str">
        <f>'t1'!A30</f>
        <v>POSIZIONE ECONOMICA DI ACCESSO C1</v>
      </c>
      <c r="B30" s="224" t="str">
        <f>'t1'!B30</f>
        <v>056000</v>
      </c>
      <c r="C30" s="234"/>
      <c r="D30" s="235">
        <v>1</v>
      </c>
      <c r="E30" s="234"/>
      <c r="F30" s="235">
        <v>1</v>
      </c>
      <c r="G30" s="234"/>
      <c r="H30" s="235"/>
      <c r="I30" s="234"/>
      <c r="J30" s="235"/>
      <c r="K30" s="234"/>
      <c r="L30" s="235"/>
      <c r="M30" s="236"/>
      <c r="N30" s="237"/>
      <c r="O30" s="234"/>
      <c r="P30" s="235"/>
      <c r="Q30" s="234"/>
      <c r="R30" s="235"/>
      <c r="S30" s="238"/>
      <c r="T30" s="239"/>
      <c r="U30" s="238"/>
      <c r="V30" s="239"/>
      <c r="W30" s="448">
        <f t="shared" si="0"/>
        <v>0</v>
      </c>
      <c r="X30" s="449">
        <f t="shared" si="1"/>
        <v>2</v>
      </c>
      <c r="Y30" s="871">
        <f>'t1'!N30</f>
        <v>1</v>
      </c>
    </row>
    <row r="31" spans="1:25" ht="12.75" customHeight="1">
      <c r="A31" s="152" t="str">
        <f>'t1'!A31</f>
        <v>POSIZ. ECON. B7 - PROFILO ACCESSO B3</v>
      </c>
      <c r="B31" s="224" t="str">
        <f>'t1'!B31</f>
        <v>0B7A00</v>
      </c>
      <c r="C31" s="234"/>
      <c r="D31" s="235"/>
      <c r="E31" s="234"/>
      <c r="F31" s="235"/>
      <c r="G31" s="234"/>
      <c r="H31" s="235"/>
      <c r="I31" s="234"/>
      <c r="J31" s="235"/>
      <c r="K31" s="234"/>
      <c r="L31" s="235"/>
      <c r="M31" s="236"/>
      <c r="N31" s="237"/>
      <c r="O31" s="234"/>
      <c r="P31" s="235"/>
      <c r="Q31" s="234"/>
      <c r="R31" s="235"/>
      <c r="S31" s="238"/>
      <c r="T31" s="239"/>
      <c r="U31" s="238"/>
      <c r="V31" s="239"/>
      <c r="W31" s="448">
        <f t="shared" si="0"/>
        <v>0</v>
      </c>
      <c r="X31" s="449">
        <f t="shared" si="1"/>
        <v>0</v>
      </c>
      <c r="Y31" s="871">
        <f>'t1'!N31</f>
        <v>0</v>
      </c>
    </row>
    <row r="32" spans="1:25" ht="12.75" customHeight="1">
      <c r="A32" s="152" t="str">
        <f>'t1'!A32</f>
        <v>POSIZ. ECON. B7 - PROFILO  ACCESSO B1</v>
      </c>
      <c r="B32" s="224" t="str">
        <f>'t1'!B32</f>
        <v>0B7000</v>
      </c>
      <c r="C32" s="234"/>
      <c r="D32" s="235"/>
      <c r="E32" s="234"/>
      <c r="F32" s="235"/>
      <c r="G32" s="234"/>
      <c r="H32" s="235"/>
      <c r="I32" s="234"/>
      <c r="J32" s="235"/>
      <c r="K32" s="234"/>
      <c r="L32" s="235"/>
      <c r="M32" s="236"/>
      <c r="N32" s="237"/>
      <c r="O32" s="234"/>
      <c r="P32" s="235"/>
      <c r="Q32" s="234"/>
      <c r="R32" s="235"/>
      <c r="S32" s="238"/>
      <c r="T32" s="239"/>
      <c r="U32" s="238"/>
      <c r="V32" s="239"/>
      <c r="W32" s="448">
        <f t="shared" si="0"/>
        <v>0</v>
      </c>
      <c r="X32" s="449">
        <f t="shared" si="1"/>
        <v>0</v>
      </c>
      <c r="Y32" s="871">
        <f>'t1'!N32</f>
        <v>0</v>
      </c>
    </row>
    <row r="33" spans="1:25" ht="12.75" customHeight="1">
      <c r="A33" s="152" t="str">
        <f>'t1'!A33</f>
        <v>POSIZ. ECON. B6 PROFILI ACCESSO B3</v>
      </c>
      <c r="B33" s="224" t="str">
        <f>'t1'!B33</f>
        <v>038490</v>
      </c>
      <c r="C33" s="234"/>
      <c r="D33" s="235"/>
      <c r="E33" s="234"/>
      <c r="F33" s="235"/>
      <c r="G33" s="234"/>
      <c r="H33" s="235"/>
      <c r="I33" s="234"/>
      <c r="J33" s="235"/>
      <c r="K33" s="234"/>
      <c r="L33" s="235"/>
      <c r="M33" s="236"/>
      <c r="N33" s="237"/>
      <c r="O33" s="234"/>
      <c r="P33" s="235"/>
      <c r="Q33" s="234"/>
      <c r="R33" s="235"/>
      <c r="S33" s="238"/>
      <c r="T33" s="239"/>
      <c r="U33" s="238"/>
      <c r="V33" s="239"/>
      <c r="W33" s="448">
        <f t="shared" si="0"/>
        <v>0</v>
      </c>
      <c r="X33" s="449">
        <f t="shared" si="1"/>
        <v>0</v>
      </c>
      <c r="Y33" s="871">
        <f>'t1'!N33</f>
        <v>0</v>
      </c>
    </row>
    <row r="34" spans="1:25" ht="12.75" customHeight="1">
      <c r="A34" s="152" t="str">
        <f>'t1'!A34</f>
        <v>POSIZ. ECON. B6 PROFILI ACCESSO B1</v>
      </c>
      <c r="B34" s="224" t="str">
        <f>'t1'!B34</f>
        <v>038491</v>
      </c>
      <c r="C34" s="234"/>
      <c r="D34" s="235"/>
      <c r="E34" s="234"/>
      <c r="F34" s="235"/>
      <c r="G34" s="234"/>
      <c r="H34" s="235"/>
      <c r="I34" s="234"/>
      <c r="J34" s="235"/>
      <c r="K34" s="234"/>
      <c r="L34" s="235"/>
      <c r="M34" s="236"/>
      <c r="N34" s="237"/>
      <c r="O34" s="234"/>
      <c r="P34" s="235"/>
      <c r="Q34" s="234"/>
      <c r="R34" s="235"/>
      <c r="S34" s="238"/>
      <c r="T34" s="239"/>
      <c r="U34" s="238"/>
      <c r="V34" s="239"/>
      <c r="W34" s="448">
        <f t="shared" si="0"/>
        <v>0</v>
      </c>
      <c r="X34" s="449">
        <f t="shared" si="1"/>
        <v>0</v>
      </c>
      <c r="Y34" s="871">
        <f>'t1'!N34</f>
        <v>0</v>
      </c>
    </row>
    <row r="35" spans="1:25" ht="12.75" customHeight="1">
      <c r="A35" s="152" t="str">
        <f>'t1'!A35</f>
        <v>POSIZ. ECON. B5 PROFILI ACCESSO B3</v>
      </c>
      <c r="B35" s="224" t="str">
        <f>'t1'!B35</f>
        <v>037492</v>
      </c>
      <c r="C35" s="234"/>
      <c r="D35" s="235"/>
      <c r="E35" s="234"/>
      <c r="F35" s="235"/>
      <c r="G35" s="234"/>
      <c r="H35" s="235"/>
      <c r="I35" s="234"/>
      <c r="J35" s="235"/>
      <c r="K35" s="234"/>
      <c r="L35" s="235"/>
      <c r="M35" s="236"/>
      <c r="N35" s="237"/>
      <c r="O35" s="234"/>
      <c r="P35" s="235"/>
      <c r="Q35" s="234"/>
      <c r="R35" s="235"/>
      <c r="S35" s="238"/>
      <c r="T35" s="239"/>
      <c r="U35" s="238"/>
      <c r="V35" s="239"/>
      <c r="W35" s="448">
        <f t="shared" si="0"/>
        <v>0</v>
      </c>
      <c r="X35" s="449">
        <f t="shared" si="1"/>
        <v>0</v>
      </c>
      <c r="Y35" s="871">
        <f>'t1'!N35</f>
        <v>0</v>
      </c>
    </row>
    <row r="36" spans="1:25" ht="12.75" customHeight="1">
      <c r="A36" s="152" t="str">
        <f>'t1'!A36</f>
        <v>POSIZ. ECON. B5 PROFILI ACCESSO B1</v>
      </c>
      <c r="B36" s="224" t="str">
        <f>'t1'!B36</f>
        <v>037493</v>
      </c>
      <c r="C36" s="234"/>
      <c r="D36" s="235"/>
      <c r="E36" s="234"/>
      <c r="F36" s="235"/>
      <c r="G36" s="234"/>
      <c r="H36" s="235"/>
      <c r="I36" s="234"/>
      <c r="J36" s="235"/>
      <c r="K36" s="234"/>
      <c r="L36" s="235"/>
      <c r="M36" s="236"/>
      <c r="N36" s="237"/>
      <c r="O36" s="234"/>
      <c r="P36" s="235"/>
      <c r="Q36" s="234"/>
      <c r="R36" s="235"/>
      <c r="S36" s="238"/>
      <c r="T36" s="239"/>
      <c r="U36" s="238"/>
      <c r="V36" s="239"/>
      <c r="W36" s="448">
        <f t="shared" si="0"/>
        <v>0</v>
      </c>
      <c r="X36" s="449">
        <f t="shared" si="1"/>
        <v>0</v>
      </c>
      <c r="Y36" s="871">
        <f>'t1'!N36</f>
        <v>0</v>
      </c>
    </row>
    <row r="37" spans="1:25" ht="12.75" customHeight="1">
      <c r="A37" s="152" t="str">
        <f>'t1'!A37</f>
        <v>POSIZ. ECON. B4 PROFILI ACCESSO B3</v>
      </c>
      <c r="B37" s="224" t="str">
        <f>'t1'!B37</f>
        <v>036494</v>
      </c>
      <c r="C37" s="234"/>
      <c r="D37" s="235"/>
      <c r="E37" s="234"/>
      <c r="F37" s="235"/>
      <c r="G37" s="234"/>
      <c r="H37" s="235"/>
      <c r="I37" s="234"/>
      <c r="J37" s="235"/>
      <c r="K37" s="234"/>
      <c r="L37" s="235"/>
      <c r="M37" s="236"/>
      <c r="N37" s="237"/>
      <c r="O37" s="234"/>
      <c r="P37" s="235"/>
      <c r="Q37" s="234"/>
      <c r="R37" s="235"/>
      <c r="S37" s="238"/>
      <c r="T37" s="239"/>
      <c r="U37" s="238"/>
      <c r="V37" s="239"/>
      <c r="W37" s="448">
        <f t="shared" si="0"/>
        <v>0</v>
      </c>
      <c r="X37" s="449">
        <f t="shared" si="1"/>
        <v>0</v>
      </c>
      <c r="Y37" s="871">
        <f>'t1'!N37</f>
        <v>0</v>
      </c>
    </row>
    <row r="38" spans="1:25" ht="12.75" customHeight="1">
      <c r="A38" s="152" t="str">
        <f>'t1'!A38</f>
        <v>POSIZ. ECON. B4 PROFILI ACCESSO B1</v>
      </c>
      <c r="B38" s="224" t="str">
        <f>'t1'!B38</f>
        <v>036495</v>
      </c>
      <c r="C38" s="234"/>
      <c r="D38" s="235"/>
      <c r="E38" s="234"/>
      <c r="F38" s="235"/>
      <c r="G38" s="234"/>
      <c r="H38" s="235"/>
      <c r="I38" s="234"/>
      <c r="J38" s="235"/>
      <c r="K38" s="234"/>
      <c r="L38" s="235"/>
      <c r="M38" s="236"/>
      <c r="N38" s="237"/>
      <c r="O38" s="234"/>
      <c r="P38" s="235"/>
      <c r="Q38" s="234"/>
      <c r="R38" s="235"/>
      <c r="S38" s="238"/>
      <c r="T38" s="239"/>
      <c r="U38" s="238"/>
      <c r="V38" s="239"/>
      <c r="W38" s="448">
        <f t="shared" si="0"/>
        <v>0</v>
      </c>
      <c r="X38" s="449">
        <f t="shared" si="1"/>
        <v>0</v>
      </c>
      <c r="Y38" s="871">
        <f>'t1'!N38</f>
        <v>0</v>
      </c>
    </row>
    <row r="39" spans="1:25" ht="12.75" customHeight="1">
      <c r="A39" s="152" t="str">
        <f>'t1'!A39</f>
        <v>POSIZIONE ECONOMICA DI ACCESSO B3</v>
      </c>
      <c r="B39" s="224" t="str">
        <f>'t1'!B39</f>
        <v>055000</v>
      </c>
      <c r="C39" s="234"/>
      <c r="D39" s="235"/>
      <c r="E39" s="234"/>
      <c r="F39" s="235"/>
      <c r="G39" s="234"/>
      <c r="H39" s="235"/>
      <c r="I39" s="234"/>
      <c r="J39" s="235"/>
      <c r="K39" s="234"/>
      <c r="L39" s="235"/>
      <c r="M39" s="236"/>
      <c r="N39" s="237"/>
      <c r="O39" s="234"/>
      <c r="P39" s="235"/>
      <c r="Q39" s="234"/>
      <c r="R39" s="235"/>
      <c r="S39" s="238"/>
      <c r="T39" s="239"/>
      <c r="U39" s="238"/>
      <c r="V39" s="239"/>
      <c r="W39" s="448">
        <f t="shared" si="0"/>
        <v>0</v>
      </c>
      <c r="X39" s="449">
        <f t="shared" si="1"/>
        <v>0</v>
      </c>
      <c r="Y39" s="871">
        <f>'t1'!N39</f>
        <v>0</v>
      </c>
    </row>
    <row r="40" spans="1:25" ht="12.75" customHeight="1">
      <c r="A40" s="152" t="str">
        <f>'t1'!A40</f>
        <v>POSIZIONE ECONOMICA B3</v>
      </c>
      <c r="B40" s="224" t="str">
        <f>'t1'!B40</f>
        <v>034000</v>
      </c>
      <c r="C40" s="234"/>
      <c r="D40" s="235"/>
      <c r="E40" s="234"/>
      <c r="F40" s="235"/>
      <c r="G40" s="234"/>
      <c r="H40" s="235"/>
      <c r="I40" s="234"/>
      <c r="J40" s="235"/>
      <c r="K40" s="234"/>
      <c r="L40" s="235"/>
      <c r="M40" s="236"/>
      <c r="N40" s="237"/>
      <c r="O40" s="234"/>
      <c r="P40" s="235"/>
      <c r="Q40" s="234"/>
      <c r="R40" s="235"/>
      <c r="S40" s="238"/>
      <c r="T40" s="239"/>
      <c r="U40" s="238"/>
      <c r="V40" s="239"/>
      <c r="W40" s="448">
        <f t="shared" si="0"/>
        <v>0</v>
      </c>
      <c r="X40" s="449">
        <f t="shared" si="1"/>
        <v>0</v>
      </c>
      <c r="Y40" s="871">
        <f>'t1'!N40</f>
        <v>0</v>
      </c>
    </row>
    <row r="41" spans="1:25" ht="12.75" customHeight="1">
      <c r="A41" s="152" t="str">
        <f>'t1'!A41</f>
        <v>POSIZIONE ECONOMICA B2</v>
      </c>
      <c r="B41" s="224" t="str">
        <f>'t1'!B41</f>
        <v>032000</v>
      </c>
      <c r="C41" s="234"/>
      <c r="D41" s="235"/>
      <c r="E41" s="234"/>
      <c r="F41" s="235"/>
      <c r="G41" s="234"/>
      <c r="H41" s="235"/>
      <c r="I41" s="234"/>
      <c r="J41" s="235"/>
      <c r="K41" s="234"/>
      <c r="L41" s="235"/>
      <c r="M41" s="236"/>
      <c r="N41" s="237"/>
      <c r="O41" s="234"/>
      <c r="P41" s="235"/>
      <c r="Q41" s="234"/>
      <c r="R41" s="235"/>
      <c r="S41" s="238"/>
      <c r="T41" s="239"/>
      <c r="U41" s="238"/>
      <c r="V41" s="239"/>
      <c r="W41" s="448">
        <f t="shared" si="0"/>
        <v>0</v>
      </c>
      <c r="X41" s="449">
        <f t="shared" si="1"/>
        <v>0</v>
      </c>
      <c r="Y41" s="871">
        <f>'t1'!N41</f>
        <v>0</v>
      </c>
    </row>
    <row r="42" spans="1:25" ht="12.75" customHeight="1">
      <c r="A42" s="152" t="str">
        <f>'t1'!A42</f>
        <v>POSIZIONE ECONOMICA DI ACCESSO B1</v>
      </c>
      <c r="B42" s="224" t="str">
        <f>'t1'!B42</f>
        <v>054000</v>
      </c>
      <c r="C42" s="234"/>
      <c r="D42" s="235"/>
      <c r="E42" s="234"/>
      <c r="F42" s="235"/>
      <c r="G42" s="234"/>
      <c r="H42" s="235"/>
      <c r="I42" s="234"/>
      <c r="J42" s="235"/>
      <c r="K42" s="234"/>
      <c r="L42" s="235"/>
      <c r="M42" s="236"/>
      <c r="N42" s="237"/>
      <c r="O42" s="234"/>
      <c r="P42" s="235"/>
      <c r="Q42" s="234"/>
      <c r="R42" s="235"/>
      <c r="S42" s="238"/>
      <c r="T42" s="239"/>
      <c r="U42" s="238"/>
      <c r="V42" s="239"/>
      <c r="W42" s="448">
        <f t="shared" si="0"/>
        <v>0</v>
      </c>
      <c r="X42" s="449">
        <f t="shared" si="1"/>
        <v>0</v>
      </c>
      <c r="Y42" s="871">
        <f>'t1'!N42</f>
        <v>0</v>
      </c>
    </row>
    <row r="43" spans="1:25" ht="12.75" customHeight="1">
      <c r="A43" s="152" t="str">
        <f>'t1'!A43</f>
        <v>POSIZIONE ECONOMICA A5</v>
      </c>
      <c r="B43" s="224" t="str">
        <f>'t1'!B43</f>
        <v>0A5000</v>
      </c>
      <c r="C43" s="234"/>
      <c r="D43" s="235"/>
      <c r="E43" s="234"/>
      <c r="F43" s="235"/>
      <c r="G43" s="234"/>
      <c r="H43" s="235"/>
      <c r="I43" s="234"/>
      <c r="J43" s="235"/>
      <c r="K43" s="234"/>
      <c r="L43" s="235"/>
      <c r="M43" s="236"/>
      <c r="N43" s="237"/>
      <c r="O43" s="234"/>
      <c r="P43" s="235"/>
      <c r="Q43" s="234"/>
      <c r="R43" s="235"/>
      <c r="S43" s="238"/>
      <c r="T43" s="239"/>
      <c r="U43" s="238"/>
      <c r="V43" s="239"/>
      <c r="W43" s="448">
        <f t="shared" si="0"/>
        <v>0</v>
      </c>
      <c r="X43" s="449">
        <f t="shared" si="1"/>
        <v>0</v>
      </c>
      <c r="Y43" s="871">
        <f>'t1'!N43</f>
        <v>0</v>
      </c>
    </row>
    <row r="44" spans="1:25" ht="12.75" customHeight="1">
      <c r="A44" s="152" t="str">
        <f>'t1'!A44</f>
        <v>POSIZIONE ECONOMICA A4</v>
      </c>
      <c r="B44" s="224" t="str">
        <f>'t1'!B44</f>
        <v>028000</v>
      </c>
      <c r="C44" s="234"/>
      <c r="D44" s="235"/>
      <c r="E44" s="234"/>
      <c r="F44" s="235"/>
      <c r="G44" s="234"/>
      <c r="H44" s="235"/>
      <c r="I44" s="234"/>
      <c r="J44" s="235"/>
      <c r="K44" s="234"/>
      <c r="L44" s="235"/>
      <c r="M44" s="236"/>
      <c r="N44" s="237"/>
      <c r="O44" s="234"/>
      <c r="P44" s="235"/>
      <c r="Q44" s="234"/>
      <c r="R44" s="235"/>
      <c r="S44" s="238"/>
      <c r="T44" s="239"/>
      <c r="U44" s="238"/>
      <c r="V44" s="239"/>
      <c r="W44" s="448">
        <f t="shared" si="0"/>
        <v>0</v>
      </c>
      <c r="X44" s="449">
        <f t="shared" si="1"/>
        <v>0</v>
      </c>
      <c r="Y44" s="871">
        <f>'t1'!N44</f>
        <v>0</v>
      </c>
    </row>
    <row r="45" spans="1:25" ht="12.75" customHeight="1">
      <c r="A45" s="152" t="str">
        <f>'t1'!A45</f>
        <v>POSIZIONE ECONOMICA A3</v>
      </c>
      <c r="B45" s="224" t="str">
        <f>'t1'!B45</f>
        <v>027000</v>
      </c>
      <c r="C45" s="234"/>
      <c r="D45" s="235"/>
      <c r="E45" s="234"/>
      <c r="F45" s="235"/>
      <c r="G45" s="234"/>
      <c r="H45" s="235"/>
      <c r="I45" s="234"/>
      <c r="J45" s="235"/>
      <c r="K45" s="234"/>
      <c r="L45" s="235"/>
      <c r="M45" s="236"/>
      <c r="N45" s="237"/>
      <c r="O45" s="234"/>
      <c r="P45" s="235"/>
      <c r="Q45" s="234"/>
      <c r="R45" s="235"/>
      <c r="S45" s="238"/>
      <c r="T45" s="239"/>
      <c r="U45" s="238"/>
      <c r="V45" s="239"/>
      <c r="W45" s="448">
        <f t="shared" si="0"/>
        <v>0</v>
      </c>
      <c r="X45" s="449">
        <f t="shared" si="1"/>
        <v>0</v>
      </c>
      <c r="Y45" s="871">
        <f>'t1'!N45</f>
        <v>0</v>
      </c>
    </row>
    <row r="46" spans="1:25" ht="12.75" customHeight="1">
      <c r="A46" s="152" t="str">
        <f>'t1'!A46</f>
        <v>POSIZIONE ECONOMICA A2</v>
      </c>
      <c r="B46" s="224" t="str">
        <f>'t1'!B46</f>
        <v>025000</v>
      </c>
      <c r="C46" s="234"/>
      <c r="D46" s="235"/>
      <c r="E46" s="234"/>
      <c r="F46" s="235"/>
      <c r="G46" s="234"/>
      <c r="H46" s="235"/>
      <c r="I46" s="234"/>
      <c r="J46" s="235"/>
      <c r="K46" s="234"/>
      <c r="L46" s="235"/>
      <c r="M46" s="236"/>
      <c r="N46" s="237"/>
      <c r="O46" s="234"/>
      <c r="P46" s="235"/>
      <c r="Q46" s="234"/>
      <c r="R46" s="235"/>
      <c r="S46" s="238"/>
      <c r="T46" s="239"/>
      <c r="U46" s="238"/>
      <c r="V46" s="239"/>
      <c r="W46" s="448">
        <f t="shared" si="0"/>
        <v>0</v>
      </c>
      <c r="X46" s="449">
        <f t="shared" si="1"/>
        <v>0</v>
      </c>
      <c r="Y46" s="871">
        <f>'t1'!N46</f>
        <v>0</v>
      </c>
    </row>
    <row r="47" spans="1:25" ht="12.75" customHeight="1">
      <c r="A47" s="152" t="str">
        <f>'t1'!A47</f>
        <v>POSIZIONE ECONOMICA DI ACCESSO A1</v>
      </c>
      <c r="B47" s="224" t="str">
        <f>'t1'!B47</f>
        <v>053000</v>
      </c>
      <c r="C47" s="234"/>
      <c r="D47" s="235"/>
      <c r="E47" s="234"/>
      <c r="F47" s="235"/>
      <c r="G47" s="234"/>
      <c r="H47" s="235"/>
      <c r="I47" s="234"/>
      <c r="J47" s="235"/>
      <c r="K47" s="234"/>
      <c r="L47" s="235"/>
      <c r="M47" s="236"/>
      <c r="N47" s="237"/>
      <c r="O47" s="234"/>
      <c r="P47" s="235"/>
      <c r="Q47" s="234"/>
      <c r="R47" s="235"/>
      <c r="S47" s="238"/>
      <c r="T47" s="239"/>
      <c r="U47" s="238"/>
      <c r="V47" s="239"/>
      <c r="W47" s="448">
        <f t="shared" si="0"/>
        <v>0</v>
      </c>
      <c r="X47" s="449">
        <f t="shared" si="1"/>
        <v>0</v>
      </c>
      <c r="Y47" s="871">
        <f>'t1'!N47</f>
        <v>0</v>
      </c>
    </row>
    <row r="48" spans="1:25" ht="12.75" customHeight="1">
      <c r="A48" s="152" t="str">
        <f>'t1'!A48</f>
        <v>CONTRATTISTI (a)</v>
      </c>
      <c r="B48" s="224" t="str">
        <f>'t1'!B48</f>
        <v>000061</v>
      </c>
      <c r="C48" s="234"/>
      <c r="D48" s="235"/>
      <c r="E48" s="234"/>
      <c r="F48" s="235"/>
      <c r="G48" s="234"/>
      <c r="H48" s="235"/>
      <c r="I48" s="234"/>
      <c r="J48" s="235"/>
      <c r="K48" s="234"/>
      <c r="L48" s="235"/>
      <c r="M48" s="236"/>
      <c r="N48" s="237"/>
      <c r="O48" s="234"/>
      <c r="P48" s="235"/>
      <c r="Q48" s="234"/>
      <c r="R48" s="235"/>
      <c r="S48" s="238"/>
      <c r="T48" s="239"/>
      <c r="U48" s="238"/>
      <c r="V48" s="239"/>
      <c r="W48" s="448">
        <f>SUM(C48,E48,G48,I48,K48,M48,O48,Q48,S48,U48)</f>
        <v>0</v>
      </c>
      <c r="X48" s="449">
        <f>SUM(D48,F48,H48,J48,L48,N48,P48,R48,T48,V48)</f>
        <v>0</v>
      </c>
      <c r="Y48" s="871">
        <f>'t1'!N48</f>
        <v>0</v>
      </c>
    </row>
    <row r="49" spans="1:25" ht="12.75" customHeight="1" thickBot="1">
      <c r="A49" s="152" t="str">
        <f>'t1'!A49</f>
        <v>COLLABORATORE A T.D. ART. 90 TUEL (b)</v>
      </c>
      <c r="B49" s="224" t="str">
        <f>'t1'!B49</f>
        <v>000096</v>
      </c>
      <c r="C49" s="234"/>
      <c r="D49" s="235"/>
      <c r="E49" s="234"/>
      <c r="F49" s="235"/>
      <c r="G49" s="234"/>
      <c r="H49" s="235"/>
      <c r="I49" s="234"/>
      <c r="J49" s="235"/>
      <c r="K49" s="234"/>
      <c r="L49" s="235"/>
      <c r="M49" s="236"/>
      <c r="N49" s="237"/>
      <c r="O49" s="234"/>
      <c r="P49" s="235"/>
      <c r="Q49" s="234"/>
      <c r="R49" s="235"/>
      <c r="S49" s="238"/>
      <c r="T49" s="239"/>
      <c r="U49" s="238"/>
      <c r="V49" s="239"/>
      <c r="W49" s="448">
        <f t="shared" si="0"/>
        <v>0</v>
      </c>
      <c r="X49" s="449">
        <f t="shared" si="1"/>
        <v>0</v>
      </c>
      <c r="Y49" s="871">
        <f>'t1'!N49</f>
        <v>0</v>
      </c>
    </row>
    <row r="50" spans="1:25" ht="17.25" customHeight="1" thickTop="1" thickBot="1">
      <c r="A50" s="74" t="s">
        <v>107</v>
      </c>
      <c r="B50" s="75"/>
      <c r="C50" s="445">
        <f t="shared" ref="C50:X50" si="2">SUM(C6:C49)</f>
        <v>1</v>
      </c>
      <c r="D50" s="446">
        <f t="shared" si="2"/>
        <v>1</v>
      </c>
      <c r="E50" s="445">
        <f t="shared" si="2"/>
        <v>0</v>
      </c>
      <c r="F50" s="446">
        <f t="shared" si="2"/>
        <v>1</v>
      </c>
      <c r="G50" s="445">
        <f t="shared" si="2"/>
        <v>0</v>
      </c>
      <c r="H50" s="446">
        <f t="shared" si="2"/>
        <v>0</v>
      </c>
      <c r="I50" s="445">
        <f t="shared" si="2"/>
        <v>0</v>
      </c>
      <c r="J50" s="446">
        <f t="shared" si="2"/>
        <v>0</v>
      </c>
      <c r="K50" s="445">
        <f t="shared" si="2"/>
        <v>0</v>
      </c>
      <c r="L50" s="446">
        <f t="shared" si="2"/>
        <v>1</v>
      </c>
      <c r="M50" s="445">
        <f t="shared" si="2"/>
        <v>0</v>
      </c>
      <c r="N50" s="446">
        <f t="shared" si="2"/>
        <v>0</v>
      </c>
      <c r="O50" s="445">
        <f t="shared" si="2"/>
        <v>0</v>
      </c>
      <c r="P50" s="446">
        <f t="shared" si="2"/>
        <v>0</v>
      </c>
      <c r="Q50" s="445">
        <f t="shared" si="2"/>
        <v>0</v>
      </c>
      <c r="R50" s="446">
        <f t="shared" si="2"/>
        <v>0</v>
      </c>
      <c r="S50" s="445">
        <f>SUM(S6:S49)</f>
        <v>0</v>
      </c>
      <c r="T50" s="446">
        <f>SUM(T6:T49)</f>
        <v>0</v>
      </c>
      <c r="U50" s="445">
        <f t="shared" si="2"/>
        <v>0</v>
      </c>
      <c r="V50" s="446">
        <f t="shared" si="2"/>
        <v>0</v>
      </c>
      <c r="W50" s="445">
        <f t="shared" si="2"/>
        <v>1</v>
      </c>
      <c r="X50" s="447">
        <f t="shared" si="2"/>
        <v>3</v>
      </c>
    </row>
    <row r="51" spans="1:25" s="45" customFormat="1" ht="19.5" customHeight="1">
      <c r="A51" s="25" t="str">
        <f>'t1'!$A$201</f>
        <v>(a) personale a tempo indeterminato al quale viene applicato un contratto di lavoro di tipo privatistico (es.:tipografico,chimico,edile,metalmeccanico,portierato, ecc.)</v>
      </c>
      <c r="B51" s="7"/>
      <c r="C51" s="5"/>
      <c r="D51" s="5"/>
      <c r="E51" s="5"/>
      <c r="F51" s="5"/>
      <c r="G51" s="5"/>
      <c r="H51" s="5"/>
      <c r="I51" s="5"/>
      <c r="J51" s="5"/>
      <c r="K51" s="80"/>
    </row>
    <row r="52" spans="1:25" s="5" customFormat="1">
      <c r="A52" s="25" t="str">
        <f>'t1'!$A$202</f>
        <v>(b) cfr." istruzioni generali e specifiche di comparto" e "glossario"</v>
      </c>
      <c r="B52" s="7"/>
    </row>
  </sheetData>
  <sheetProtection password="EA98" sheet="1" formatColumns="0" selectLockedCells="1"/>
  <mergeCells count="12">
    <mergeCell ref="U4:V4"/>
    <mergeCell ref="K4:L4"/>
    <mergeCell ref="S4:T4"/>
    <mergeCell ref="M4:N4"/>
    <mergeCell ref="O4:P4"/>
    <mergeCell ref="Q4:R4"/>
    <mergeCell ref="A1:V1"/>
    <mergeCell ref="C4:D4"/>
    <mergeCell ref="E4:F4"/>
    <mergeCell ref="G4:H4"/>
    <mergeCell ref="I4:J4"/>
    <mergeCell ref="P2:X2"/>
  </mergeCells>
  <phoneticPr fontId="30" type="noConversion"/>
  <conditionalFormatting sqref="A6:X49">
    <cfRule type="expression" dxfId="11" priority="1" stopIfTrue="1">
      <formula>$Y6&gt;0</formula>
    </cfRule>
  </conditionalFormatting>
  <printOptions horizontalCentered="1" verticalCentered="1"/>
  <pageMargins left="0" right="0" top="0.19685039370078741" bottom="0.17" header="0.18" footer="0.2"/>
  <pageSetup paperSize="9" scale="7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>
    <pageSetUpPr fitToPage="1"/>
  </sheetPr>
  <dimension ref="A1:AC53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ColWidth="10.7109375" defaultRowHeight="10.199999999999999"/>
  <cols>
    <col min="1" max="1" width="46.85546875" style="45" customWidth="1"/>
    <col min="2" max="2" width="8.140625" style="47" bestFit="1" customWidth="1"/>
    <col min="3" max="4" width="6.7109375" style="45" customWidth="1"/>
    <col min="5" max="24" width="8" style="45" customWidth="1"/>
    <col min="25" max="26" width="6.42578125" style="45" customWidth="1"/>
    <col min="27" max="28" width="8.140625" style="45" customWidth="1"/>
    <col min="29" max="29" width="0" style="45" hidden="1" customWidth="1"/>
    <col min="30" max="16384" width="10.7109375" style="45"/>
  </cols>
  <sheetData>
    <row r="1" spans="1:29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1442"/>
      <c r="L1" s="1442"/>
      <c r="M1" s="1442"/>
      <c r="N1" s="1442"/>
      <c r="O1" s="1442"/>
      <c r="P1" s="1442"/>
      <c r="Q1" s="1442"/>
      <c r="R1" s="1442"/>
      <c r="S1" s="1442"/>
      <c r="T1" s="1442"/>
      <c r="U1" s="1442"/>
      <c r="V1" s="1442"/>
      <c r="W1" s="1442"/>
      <c r="X1" s="1442"/>
      <c r="Y1" s="1442"/>
      <c r="AB1" s="311"/>
    </row>
    <row r="2" spans="1:29" ht="30" customHeight="1" thickBot="1">
      <c r="A2" s="46"/>
      <c r="S2" s="1443"/>
      <c r="T2" s="1443"/>
      <c r="U2" s="1443"/>
      <c r="V2" s="1443"/>
      <c r="W2" s="1443"/>
      <c r="X2" s="1443"/>
      <c r="Y2" s="1443"/>
      <c r="Z2" s="1443"/>
      <c r="AA2" s="1443"/>
      <c r="AB2" s="1443"/>
    </row>
    <row r="3" spans="1:29" ht="16.5" customHeight="1" thickBot="1">
      <c r="A3" s="48"/>
      <c r="B3" s="49"/>
      <c r="C3" s="50" t="s">
        <v>288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2"/>
      <c r="Y3" s="51"/>
      <c r="Z3" s="52"/>
      <c r="AA3" s="51"/>
      <c r="AB3" s="52"/>
    </row>
    <row r="4" spans="1:29" ht="16.5" customHeight="1" thickTop="1">
      <c r="A4" s="276" t="s">
        <v>178</v>
      </c>
      <c r="B4" s="53" t="s">
        <v>103</v>
      </c>
      <c r="C4" s="1474" t="s">
        <v>212</v>
      </c>
      <c r="D4" s="1475"/>
      <c r="E4" s="164" t="s">
        <v>213</v>
      </c>
      <c r="F4" s="163"/>
      <c r="G4" s="1474" t="s">
        <v>114</v>
      </c>
      <c r="H4" s="1475"/>
      <c r="I4" s="1474" t="s">
        <v>115</v>
      </c>
      <c r="J4" s="1475"/>
      <c r="K4" s="1474" t="s">
        <v>116</v>
      </c>
      <c r="L4" s="1475"/>
      <c r="M4" s="1474" t="s">
        <v>117</v>
      </c>
      <c r="N4" s="1475"/>
      <c r="O4" s="1474" t="s">
        <v>118</v>
      </c>
      <c r="P4" s="1475"/>
      <c r="Q4" s="1474" t="s">
        <v>119</v>
      </c>
      <c r="R4" s="1475"/>
      <c r="S4" s="1474" t="s">
        <v>120</v>
      </c>
      <c r="T4" s="1475"/>
      <c r="U4" s="1474" t="s">
        <v>121</v>
      </c>
      <c r="V4" s="1475"/>
      <c r="W4" s="1474" t="s">
        <v>635</v>
      </c>
      <c r="X4" s="1475"/>
      <c r="Y4" s="1474" t="s">
        <v>636</v>
      </c>
      <c r="Z4" s="1476"/>
      <c r="AA4" s="1474" t="s">
        <v>107</v>
      </c>
      <c r="AB4" s="1476"/>
    </row>
    <row r="5" spans="1:29" ht="10.8" thickBot="1">
      <c r="A5" s="877" t="s">
        <v>825</v>
      </c>
      <c r="B5" s="54"/>
      <c r="C5" s="55" t="s">
        <v>122</v>
      </c>
      <c r="D5" s="56" t="s">
        <v>123</v>
      </c>
      <c r="E5" s="55" t="s">
        <v>122</v>
      </c>
      <c r="F5" s="56" t="s">
        <v>123</v>
      </c>
      <c r="G5" s="55" t="s">
        <v>122</v>
      </c>
      <c r="H5" s="56" t="s">
        <v>123</v>
      </c>
      <c r="I5" s="55" t="s">
        <v>122</v>
      </c>
      <c r="J5" s="56" t="s">
        <v>123</v>
      </c>
      <c r="K5" s="55" t="s">
        <v>122</v>
      </c>
      <c r="L5" s="56" t="s">
        <v>123</v>
      </c>
      <c r="M5" s="55" t="s">
        <v>122</v>
      </c>
      <c r="N5" s="56" t="s">
        <v>123</v>
      </c>
      <c r="O5" s="55" t="s">
        <v>122</v>
      </c>
      <c r="P5" s="56" t="s">
        <v>123</v>
      </c>
      <c r="Q5" s="55" t="s">
        <v>122</v>
      </c>
      <c r="R5" s="56" t="s">
        <v>123</v>
      </c>
      <c r="S5" s="55" t="s">
        <v>122</v>
      </c>
      <c r="T5" s="56" t="s">
        <v>123</v>
      </c>
      <c r="U5" s="55" t="s">
        <v>122</v>
      </c>
      <c r="V5" s="56" t="s">
        <v>123</v>
      </c>
      <c r="W5" s="55" t="s">
        <v>122</v>
      </c>
      <c r="X5" s="57" t="s">
        <v>123</v>
      </c>
      <c r="Y5" s="55" t="s">
        <v>122</v>
      </c>
      <c r="Z5" s="57" t="s">
        <v>123</v>
      </c>
      <c r="AA5" s="55" t="s">
        <v>122</v>
      </c>
      <c r="AB5" s="57" t="s">
        <v>123</v>
      </c>
    </row>
    <row r="6" spans="1:29" ht="13.5" customHeight="1" thickTop="1">
      <c r="A6" s="152" t="str">
        <f>'t1'!A6</f>
        <v>SEGRETARIO A</v>
      </c>
      <c r="B6" s="224" t="str">
        <f>'t1'!B6</f>
        <v>0D0102</v>
      </c>
      <c r="C6" s="255"/>
      <c r="D6" s="256"/>
      <c r="E6" s="257"/>
      <c r="F6" s="256"/>
      <c r="G6" s="255"/>
      <c r="H6" s="256"/>
      <c r="I6" s="255"/>
      <c r="J6" s="256"/>
      <c r="K6" s="255"/>
      <c r="L6" s="256"/>
      <c r="M6" s="255"/>
      <c r="N6" s="256"/>
      <c r="O6" s="257"/>
      <c r="P6" s="258"/>
      <c r="Q6" s="255"/>
      <c r="R6" s="256"/>
      <c r="S6" s="255"/>
      <c r="T6" s="256"/>
      <c r="U6" s="255"/>
      <c r="V6" s="256"/>
      <c r="W6" s="259"/>
      <c r="X6" s="256"/>
      <c r="Y6" s="259"/>
      <c r="Z6" s="256"/>
      <c r="AA6" s="450">
        <f>SUM(C6,E6,G6,I6,K6,M6,O6,Q6,S6,U6,W6,Y6)</f>
        <v>0</v>
      </c>
      <c r="AB6" s="451">
        <f>SUM(D6,F6,H6,J6,L6,N6,P6,R6,T6,V6,X6,Z6)</f>
        <v>0</v>
      </c>
      <c r="AC6" s="872">
        <f>'t1'!N6</f>
        <v>0</v>
      </c>
    </row>
    <row r="7" spans="1:29" ht="14.1" customHeight="1">
      <c r="A7" s="152" t="str">
        <f>'t1'!A7</f>
        <v>SEGRETARIO B</v>
      </c>
      <c r="B7" s="224" t="str">
        <f>'t1'!B7</f>
        <v>0D0103</v>
      </c>
      <c r="C7" s="255"/>
      <c r="D7" s="256"/>
      <c r="E7" s="257"/>
      <c r="F7" s="256"/>
      <c r="G7" s="255"/>
      <c r="H7" s="256"/>
      <c r="I7" s="255"/>
      <c r="J7" s="256"/>
      <c r="K7" s="255"/>
      <c r="L7" s="256"/>
      <c r="M7" s="255"/>
      <c r="N7" s="256"/>
      <c r="O7" s="257"/>
      <c r="P7" s="258"/>
      <c r="Q7" s="255"/>
      <c r="R7" s="256"/>
      <c r="S7" s="255"/>
      <c r="T7" s="256"/>
      <c r="U7" s="255"/>
      <c r="V7" s="256"/>
      <c r="W7" s="259"/>
      <c r="X7" s="256"/>
      <c r="Y7" s="259"/>
      <c r="Z7" s="256"/>
      <c r="AA7" s="450">
        <f t="shared" ref="AA7:AA49" si="0">SUM(C7,E7,G7,I7,K7,M7,O7,Q7,S7,U7,W7,Y7)</f>
        <v>0</v>
      </c>
      <c r="AB7" s="451">
        <f t="shared" ref="AB7:AB49" si="1">SUM(D7,F7,H7,J7,L7,N7,P7,R7,T7,V7,X7,Z7)</f>
        <v>0</v>
      </c>
      <c r="AC7" s="872">
        <f>'t1'!N7</f>
        <v>0</v>
      </c>
    </row>
    <row r="8" spans="1:29" ht="14.1" customHeight="1">
      <c r="A8" s="152" t="str">
        <f>'t1'!A8</f>
        <v>SEGRETARIO C</v>
      </c>
      <c r="B8" s="224" t="str">
        <f>'t1'!B8</f>
        <v>0D0485</v>
      </c>
      <c r="C8" s="255"/>
      <c r="D8" s="256"/>
      <c r="E8" s="257"/>
      <c r="F8" s="256"/>
      <c r="G8" s="255"/>
      <c r="H8" s="256"/>
      <c r="I8" s="255"/>
      <c r="J8" s="256"/>
      <c r="K8" s="255"/>
      <c r="L8" s="256"/>
      <c r="M8" s="255"/>
      <c r="N8" s="256"/>
      <c r="O8" s="257"/>
      <c r="P8" s="258"/>
      <c r="Q8" s="255"/>
      <c r="R8" s="256"/>
      <c r="S8" s="255"/>
      <c r="T8" s="256"/>
      <c r="U8" s="255"/>
      <c r="V8" s="256"/>
      <c r="W8" s="259"/>
      <c r="X8" s="256"/>
      <c r="Y8" s="259"/>
      <c r="Z8" s="256"/>
      <c r="AA8" s="450">
        <f t="shared" si="0"/>
        <v>0</v>
      </c>
      <c r="AB8" s="451">
        <f t="shared" si="1"/>
        <v>0</v>
      </c>
      <c r="AC8" s="872">
        <f>'t1'!N8</f>
        <v>0</v>
      </c>
    </row>
    <row r="9" spans="1:29" ht="14.1" customHeight="1">
      <c r="A9" s="152" t="str">
        <f>'t1'!A9</f>
        <v>SEGRETARIO GENERALE CCIAA</v>
      </c>
      <c r="B9" s="224" t="str">
        <f>'t1'!B9</f>
        <v>0D0104</v>
      </c>
      <c r="C9" s="255"/>
      <c r="D9" s="256"/>
      <c r="E9" s="257"/>
      <c r="F9" s="256"/>
      <c r="G9" s="255"/>
      <c r="H9" s="256"/>
      <c r="I9" s="255"/>
      <c r="J9" s="256"/>
      <c r="K9" s="255"/>
      <c r="L9" s="256"/>
      <c r="M9" s="255"/>
      <c r="N9" s="256"/>
      <c r="O9" s="257"/>
      <c r="P9" s="258"/>
      <c r="Q9" s="255"/>
      <c r="R9" s="256"/>
      <c r="S9" s="255"/>
      <c r="T9" s="256"/>
      <c r="U9" s="255"/>
      <c r="V9" s="256"/>
      <c r="W9" s="259"/>
      <c r="X9" s="256"/>
      <c r="Y9" s="259"/>
      <c r="Z9" s="256"/>
      <c r="AA9" s="450">
        <f t="shared" si="0"/>
        <v>0</v>
      </c>
      <c r="AB9" s="451">
        <f t="shared" si="1"/>
        <v>0</v>
      </c>
      <c r="AC9" s="872">
        <f>'t1'!N9</f>
        <v>0</v>
      </c>
    </row>
    <row r="10" spans="1:29" ht="14.1" customHeight="1">
      <c r="A10" s="152" t="str">
        <f>'t1'!A10</f>
        <v>DIRETTORE  GENERALE</v>
      </c>
      <c r="B10" s="224" t="str">
        <f>'t1'!B10</f>
        <v>0D0097</v>
      </c>
      <c r="C10" s="255"/>
      <c r="D10" s="256"/>
      <c r="E10" s="257"/>
      <c r="F10" s="256"/>
      <c r="G10" s="255"/>
      <c r="H10" s="256"/>
      <c r="I10" s="255"/>
      <c r="J10" s="256"/>
      <c r="K10" s="255"/>
      <c r="L10" s="256"/>
      <c r="M10" s="255"/>
      <c r="N10" s="256"/>
      <c r="O10" s="257"/>
      <c r="P10" s="258"/>
      <c r="Q10" s="255"/>
      <c r="R10" s="256"/>
      <c r="S10" s="255"/>
      <c r="T10" s="256"/>
      <c r="U10" s="255"/>
      <c r="V10" s="256"/>
      <c r="W10" s="259"/>
      <c r="X10" s="256"/>
      <c r="Y10" s="259"/>
      <c r="Z10" s="256"/>
      <c r="AA10" s="450">
        <f t="shared" si="0"/>
        <v>0</v>
      </c>
      <c r="AB10" s="451">
        <f t="shared" si="1"/>
        <v>0</v>
      </c>
      <c r="AC10" s="872">
        <f>'t1'!N10</f>
        <v>0</v>
      </c>
    </row>
    <row r="11" spans="1:29" ht="14.1" customHeight="1">
      <c r="A11" s="152" t="str">
        <f>'t1'!A11</f>
        <v>DIRIGENTE FUORI D.O. art.110 c.2 TUEL</v>
      </c>
      <c r="B11" s="224" t="str">
        <f>'t1'!B11</f>
        <v>0D0098</v>
      </c>
      <c r="C11" s="255"/>
      <c r="D11" s="256"/>
      <c r="E11" s="257"/>
      <c r="F11" s="256"/>
      <c r="G11" s="255"/>
      <c r="H11" s="256"/>
      <c r="I11" s="255"/>
      <c r="J11" s="256"/>
      <c r="K11" s="255"/>
      <c r="L11" s="256"/>
      <c r="M11" s="255"/>
      <c r="N11" s="256"/>
      <c r="O11" s="257"/>
      <c r="P11" s="258"/>
      <c r="Q11" s="255"/>
      <c r="R11" s="256"/>
      <c r="S11" s="255"/>
      <c r="T11" s="256"/>
      <c r="U11" s="255"/>
      <c r="V11" s="256"/>
      <c r="W11" s="259"/>
      <c r="X11" s="256"/>
      <c r="Y11" s="259"/>
      <c r="Z11" s="256"/>
      <c r="AA11" s="450">
        <f t="shared" si="0"/>
        <v>0</v>
      </c>
      <c r="AB11" s="451">
        <f t="shared" si="1"/>
        <v>0</v>
      </c>
      <c r="AC11" s="872">
        <f>'t1'!N11</f>
        <v>0</v>
      </c>
    </row>
    <row r="12" spans="1:29" ht="14.1" customHeight="1">
      <c r="A12" s="152" t="str">
        <f>'t1'!A12</f>
        <v>ALTE SPECIALIZZ. FUORI D.O.art.110 c.2 TUEL</v>
      </c>
      <c r="B12" s="224" t="str">
        <f>'t1'!B12</f>
        <v>0D0095</v>
      </c>
      <c r="C12" s="255"/>
      <c r="D12" s="256"/>
      <c r="E12" s="257"/>
      <c r="F12" s="256"/>
      <c r="G12" s="255"/>
      <c r="H12" s="256"/>
      <c r="I12" s="255"/>
      <c r="J12" s="256"/>
      <c r="K12" s="255"/>
      <c r="L12" s="256"/>
      <c r="M12" s="255"/>
      <c r="N12" s="256"/>
      <c r="O12" s="257"/>
      <c r="P12" s="258"/>
      <c r="Q12" s="255"/>
      <c r="R12" s="256"/>
      <c r="S12" s="255"/>
      <c r="T12" s="256"/>
      <c r="U12" s="255"/>
      <c r="V12" s="256"/>
      <c r="W12" s="259"/>
      <c r="X12" s="256"/>
      <c r="Y12" s="259"/>
      <c r="Z12" s="256"/>
      <c r="AA12" s="450">
        <f t="shared" si="0"/>
        <v>0</v>
      </c>
      <c r="AB12" s="451">
        <f t="shared" si="1"/>
        <v>0</v>
      </c>
      <c r="AC12" s="872">
        <f>'t1'!N12</f>
        <v>0</v>
      </c>
    </row>
    <row r="13" spans="1:29" ht="14.1" customHeight="1">
      <c r="A13" s="152" t="str">
        <f>'t1'!A13</f>
        <v>DIRIGENTE A TEMPO INDETERMINATO</v>
      </c>
      <c r="B13" s="224" t="str">
        <f>'t1'!B13</f>
        <v>0D0164</v>
      </c>
      <c r="C13" s="255"/>
      <c r="D13" s="256"/>
      <c r="E13" s="257"/>
      <c r="F13" s="256"/>
      <c r="G13" s="255"/>
      <c r="H13" s="256"/>
      <c r="I13" s="255"/>
      <c r="J13" s="256"/>
      <c r="K13" s="255"/>
      <c r="L13" s="256"/>
      <c r="M13" s="255"/>
      <c r="N13" s="256"/>
      <c r="O13" s="257"/>
      <c r="P13" s="258"/>
      <c r="Q13" s="255"/>
      <c r="R13" s="256"/>
      <c r="S13" s="255"/>
      <c r="T13" s="256"/>
      <c r="U13" s="255"/>
      <c r="V13" s="256"/>
      <c r="W13" s="259"/>
      <c r="X13" s="256"/>
      <c r="Y13" s="259"/>
      <c r="Z13" s="256"/>
      <c r="AA13" s="450">
        <f t="shared" si="0"/>
        <v>0</v>
      </c>
      <c r="AB13" s="451">
        <f t="shared" si="1"/>
        <v>0</v>
      </c>
      <c r="AC13" s="872">
        <f>'t1'!N13</f>
        <v>0</v>
      </c>
    </row>
    <row r="14" spans="1:29" ht="14.1" customHeight="1">
      <c r="A14" s="152" t="str">
        <f>'t1'!A14</f>
        <v>DIRIGENTE A TEMPO DET.TO  ART.110 C.1 TUEL</v>
      </c>
      <c r="B14" s="224" t="str">
        <f>'t1'!B14</f>
        <v>0D0165</v>
      </c>
      <c r="C14" s="255"/>
      <c r="D14" s="256"/>
      <c r="E14" s="257"/>
      <c r="F14" s="256"/>
      <c r="G14" s="255"/>
      <c r="H14" s="256"/>
      <c r="I14" s="255"/>
      <c r="J14" s="256"/>
      <c r="K14" s="255"/>
      <c r="L14" s="256"/>
      <c r="M14" s="255"/>
      <c r="N14" s="256"/>
      <c r="O14" s="257"/>
      <c r="P14" s="258"/>
      <c r="Q14" s="255"/>
      <c r="R14" s="256"/>
      <c r="S14" s="255"/>
      <c r="T14" s="256"/>
      <c r="U14" s="255"/>
      <c r="V14" s="256"/>
      <c r="W14" s="259"/>
      <c r="X14" s="256"/>
      <c r="Y14" s="259"/>
      <c r="Z14" s="256"/>
      <c r="AA14" s="450">
        <f t="shared" si="0"/>
        <v>0</v>
      </c>
      <c r="AB14" s="451">
        <f t="shared" si="1"/>
        <v>0</v>
      </c>
      <c r="AC14" s="872">
        <f>'t1'!N14</f>
        <v>0</v>
      </c>
    </row>
    <row r="15" spans="1:29" ht="14.1" customHeight="1">
      <c r="A15" s="152" t="str">
        <f>'t1'!A15</f>
        <v>ALTE SPECIALIZZ. IN D.O. art.110 c.1 TUEL</v>
      </c>
      <c r="B15" s="224" t="str">
        <f>'t1'!B15</f>
        <v>0D0I95</v>
      </c>
      <c r="C15" s="255"/>
      <c r="D15" s="256"/>
      <c r="E15" s="257"/>
      <c r="F15" s="256"/>
      <c r="G15" s="255"/>
      <c r="H15" s="256"/>
      <c r="I15" s="255"/>
      <c r="J15" s="256"/>
      <c r="K15" s="255"/>
      <c r="L15" s="256"/>
      <c r="M15" s="255"/>
      <c r="N15" s="256"/>
      <c r="O15" s="257"/>
      <c r="P15" s="258"/>
      <c r="Q15" s="255"/>
      <c r="R15" s="256"/>
      <c r="S15" s="255"/>
      <c r="T15" s="256"/>
      <c r="U15" s="255"/>
      <c r="V15" s="256"/>
      <c r="W15" s="259"/>
      <c r="X15" s="256"/>
      <c r="Y15" s="259"/>
      <c r="Z15" s="256"/>
      <c r="AA15" s="450">
        <f t="shared" si="0"/>
        <v>0</v>
      </c>
      <c r="AB15" s="451">
        <f t="shared" si="1"/>
        <v>0</v>
      </c>
      <c r="AC15" s="872">
        <f>'t1'!N15</f>
        <v>0</v>
      </c>
    </row>
    <row r="16" spans="1:29" ht="14.1" customHeight="1">
      <c r="A16" s="152" t="str">
        <f>'t1'!A16</f>
        <v>POSIZ. ECON. D6 - PROFILI ACCESSO D3</v>
      </c>
      <c r="B16" s="224" t="str">
        <f>'t1'!B16</f>
        <v>0D6A00</v>
      </c>
      <c r="C16" s="255"/>
      <c r="D16" s="256"/>
      <c r="E16" s="257"/>
      <c r="F16" s="256"/>
      <c r="G16" s="255"/>
      <c r="H16" s="256"/>
      <c r="I16" s="255"/>
      <c r="J16" s="256"/>
      <c r="K16" s="255"/>
      <c r="L16" s="256"/>
      <c r="M16" s="255"/>
      <c r="N16" s="256"/>
      <c r="O16" s="257"/>
      <c r="P16" s="258"/>
      <c r="Q16" s="255"/>
      <c r="R16" s="256"/>
      <c r="S16" s="255"/>
      <c r="T16" s="256"/>
      <c r="U16" s="255"/>
      <c r="V16" s="256"/>
      <c r="W16" s="259"/>
      <c r="X16" s="256"/>
      <c r="Y16" s="259"/>
      <c r="Z16" s="256"/>
      <c r="AA16" s="450">
        <f t="shared" si="0"/>
        <v>0</v>
      </c>
      <c r="AB16" s="451">
        <f t="shared" si="1"/>
        <v>0</v>
      </c>
      <c r="AC16" s="872">
        <f>'t1'!N16</f>
        <v>0</v>
      </c>
    </row>
    <row r="17" spans="1:29" ht="14.1" customHeight="1">
      <c r="A17" s="152" t="str">
        <f>'t1'!A17</f>
        <v>POSIZ. ECON. D6 - PROFILO ACCESSO D1</v>
      </c>
      <c r="B17" s="224" t="str">
        <f>'t1'!B17</f>
        <v>0D6000</v>
      </c>
      <c r="C17" s="255"/>
      <c r="D17" s="256"/>
      <c r="E17" s="257"/>
      <c r="F17" s="256"/>
      <c r="G17" s="255"/>
      <c r="H17" s="256"/>
      <c r="I17" s="255"/>
      <c r="J17" s="256"/>
      <c r="K17" s="255"/>
      <c r="L17" s="256"/>
      <c r="M17" s="255"/>
      <c r="N17" s="256"/>
      <c r="O17" s="257"/>
      <c r="P17" s="258"/>
      <c r="Q17" s="255"/>
      <c r="R17" s="256"/>
      <c r="S17" s="255"/>
      <c r="T17" s="256"/>
      <c r="U17" s="255"/>
      <c r="V17" s="256"/>
      <c r="W17" s="259"/>
      <c r="X17" s="256"/>
      <c r="Y17" s="259"/>
      <c r="Z17" s="256"/>
      <c r="AA17" s="450">
        <f t="shared" si="0"/>
        <v>0</v>
      </c>
      <c r="AB17" s="451">
        <f t="shared" si="1"/>
        <v>0</v>
      </c>
      <c r="AC17" s="872">
        <f>'t1'!N17</f>
        <v>0</v>
      </c>
    </row>
    <row r="18" spans="1:29" ht="14.1" customHeight="1">
      <c r="A18" s="152" t="str">
        <f>'t1'!A18</f>
        <v>POSIZ. ECON. D5 PROFILI ACCESSO D3</v>
      </c>
      <c r="B18" s="224" t="str">
        <f>'t1'!B18</f>
        <v>052486</v>
      </c>
      <c r="C18" s="255"/>
      <c r="D18" s="256"/>
      <c r="E18" s="257"/>
      <c r="F18" s="256"/>
      <c r="G18" s="255"/>
      <c r="H18" s="256"/>
      <c r="I18" s="255"/>
      <c r="J18" s="256"/>
      <c r="K18" s="255"/>
      <c r="L18" s="256"/>
      <c r="M18" s="255"/>
      <c r="N18" s="256"/>
      <c r="O18" s="257"/>
      <c r="P18" s="258"/>
      <c r="Q18" s="255"/>
      <c r="R18" s="256"/>
      <c r="S18" s="255"/>
      <c r="T18" s="256"/>
      <c r="U18" s="255"/>
      <c r="V18" s="256"/>
      <c r="W18" s="259"/>
      <c r="X18" s="256"/>
      <c r="Y18" s="259"/>
      <c r="Z18" s="256"/>
      <c r="AA18" s="450">
        <f t="shared" si="0"/>
        <v>0</v>
      </c>
      <c r="AB18" s="451">
        <f t="shared" si="1"/>
        <v>0</v>
      </c>
      <c r="AC18" s="872">
        <f>'t1'!N18</f>
        <v>0</v>
      </c>
    </row>
    <row r="19" spans="1:29" ht="14.1" customHeight="1">
      <c r="A19" s="152" t="str">
        <f>'t1'!A19</f>
        <v>POSIZ. ECON. D5 PROFILI ACCESSO D1</v>
      </c>
      <c r="B19" s="224" t="str">
        <f>'t1'!B19</f>
        <v>052487</v>
      </c>
      <c r="C19" s="255"/>
      <c r="D19" s="256"/>
      <c r="E19" s="257"/>
      <c r="F19" s="256"/>
      <c r="G19" s="255"/>
      <c r="H19" s="256"/>
      <c r="I19" s="255"/>
      <c r="J19" s="256"/>
      <c r="K19" s="255"/>
      <c r="L19" s="256"/>
      <c r="M19" s="255"/>
      <c r="N19" s="256"/>
      <c r="O19" s="257"/>
      <c r="P19" s="258"/>
      <c r="Q19" s="255"/>
      <c r="R19" s="256"/>
      <c r="S19" s="255"/>
      <c r="T19" s="256"/>
      <c r="U19" s="255"/>
      <c r="V19" s="256"/>
      <c r="W19" s="259"/>
      <c r="X19" s="256"/>
      <c r="Y19" s="259"/>
      <c r="Z19" s="256"/>
      <c r="AA19" s="450">
        <f t="shared" si="0"/>
        <v>0</v>
      </c>
      <c r="AB19" s="451">
        <f t="shared" si="1"/>
        <v>0</v>
      </c>
      <c r="AC19" s="872">
        <f>'t1'!N19</f>
        <v>0</v>
      </c>
    </row>
    <row r="20" spans="1:29" ht="14.1" customHeight="1">
      <c r="A20" s="152" t="str">
        <f>'t1'!A20</f>
        <v>POSIZ. ECON. D4 PROFILI ACCESSO D3</v>
      </c>
      <c r="B20" s="224" t="str">
        <f>'t1'!B20</f>
        <v>051488</v>
      </c>
      <c r="C20" s="255"/>
      <c r="D20" s="256"/>
      <c r="E20" s="257"/>
      <c r="F20" s="256"/>
      <c r="G20" s="255"/>
      <c r="H20" s="256"/>
      <c r="I20" s="255"/>
      <c r="J20" s="256"/>
      <c r="K20" s="255"/>
      <c r="L20" s="256"/>
      <c r="M20" s="255"/>
      <c r="N20" s="256"/>
      <c r="O20" s="257"/>
      <c r="P20" s="258"/>
      <c r="Q20" s="255"/>
      <c r="R20" s="256"/>
      <c r="S20" s="255"/>
      <c r="T20" s="256"/>
      <c r="U20" s="255"/>
      <c r="V20" s="256"/>
      <c r="W20" s="259"/>
      <c r="X20" s="256"/>
      <c r="Y20" s="259"/>
      <c r="Z20" s="256"/>
      <c r="AA20" s="450">
        <f t="shared" si="0"/>
        <v>0</v>
      </c>
      <c r="AB20" s="451">
        <f t="shared" si="1"/>
        <v>0</v>
      </c>
      <c r="AC20" s="872">
        <f>'t1'!N20</f>
        <v>0</v>
      </c>
    </row>
    <row r="21" spans="1:29" ht="14.1" customHeight="1">
      <c r="A21" s="152" t="str">
        <f>'t1'!A21</f>
        <v>POSIZ. ECON. D4 PROFILI ACCESSO D1</v>
      </c>
      <c r="B21" s="224" t="str">
        <f>'t1'!B21</f>
        <v>051489</v>
      </c>
      <c r="C21" s="255"/>
      <c r="D21" s="256"/>
      <c r="E21" s="257"/>
      <c r="F21" s="256"/>
      <c r="G21" s="255"/>
      <c r="H21" s="256"/>
      <c r="I21" s="255"/>
      <c r="J21" s="256"/>
      <c r="K21" s="255"/>
      <c r="L21" s="256"/>
      <c r="M21" s="255"/>
      <c r="N21" s="256"/>
      <c r="O21" s="257"/>
      <c r="P21" s="258"/>
      <c r="Q21" s="255"/>
      <c r="R21" s="256"/>
      <c r="S21" s="255"/>
      <c r="T21" s="256"/>
      <c r="U21" s="255"/>
      <c r="V21" s="256"/>
      <c r="W21" s="259"/>
      <c r="X21" s="256"/>
      <c r="Y21" s="259"/>
      <c r="Z21" s="256"/>
      <c r="AA21" s="450">
        <f t="shared" si="0"/>
        <v>0</v>
      </c>
      <c r="AB21" s="451">
        <f t="shared" si="1"/>
        <v>0</v>
      </c>
      <c r="AC21" s="872">
        <f>'t1'!N21</f>
        <v>0</v>
      </c>
    </row>
    <row r="22" spans="1:29" ht="14.1" customHeight="1">
      <c r="A22" s="152" t="str">
        <f>'t1'!A22</f>
        <v>POSIZIONE ECONOMICA DI ACCESSO D3</v>
      </c>
      <c r="B22" s="224" t="str">
        <f>'t1'!B22</f>
        <v>058000</v>
      </c>
      <c r="C22" s="255"/>
      <c r="D22" s="256"/>
      <c r="E22" s="257"/>
      <c r="F22" s="256"/>
      <c r="G22" s="255"/>
      <c r="H22" s="256"/>
      <c r="I22" s="255"/>
      <c r="J22" s="256"/>
      <c r="K22" s="255"/>
      <c r="L22" s="256"/>
      <c r="M22" s="255"/>
      <c r="N22" s="256"/>
      <c r="O22" s="257"/>
      <c r="P22" s="258"/>
      <c r="Q22" s="255"/>
      <c r="R22" s="256"/>
      <c r="S22" s="255"/>
      <c r="T22" s="256"/>
      <c r="U22" s="255"/>
      <c r="V22" s="256"/>
      <c r="W22" s="259"/>
      <c r="X22" s="256"/>
      <c r="Y22" s="259"/>
      <c r="Z22" s="256"/>
      <c r="AA22" s="450">
        <f t="shared" si="0"/>
        <v>0</v>
      </c>
      <c r="AB22" s="451">
        <f t="shared" si="1"/>
        <v>0</v>
      </c>
      <c r="AC22" s="872">
        <f>'t1'!N22</f>
        <v>0</v>
      </c>
    </row>
    <row r="23" spans="1:29" ht="14.1" customHeight="1">
      <c r="A23" s="152" t="str">
        <f>'t1'!A23</f>
        <v>POSIZIONE ECONOMICA D3</v>
      </c>
      <c r="B23" s="224" t="str">
        <f>'t1'!B23</f>
        <v>050000</v>
      </c>
      <c r="C23" s="255"/>
      <c r="D23" s="256"/>
      <c r="E23" s="257"/>
      <c r="F23" s="256"/>
      <c r="G23" s="255"/>
      <c r="H23" s="256"/>
      <c r="I23" s="255"/>
      <c r="J23" s="256"/>
      <c r="K23" s="255"/>
      <c r="L23" s="256"/>
      <c r="M23" s="255"/>
      <c r="N23" s="256"/>
      <c r="O23" s="257"/>
      <c r="P23" s="258"/>
      <c r="Q23" s="255"/>
      <c r="R23" s="256"/>
      <c r="S23" s="255"/>
      <c r="T23" s="256"/>
      <c r="U23" s="255"/>
      <c r="V23" s="256"/>
      <c r="W23" s="259"/>
      <c r="X23" s="256"/>
      <c r="Y23" s="259"/>
      <c r="Z23" s="256"/>
      <c r="AA23" s="450">
        <f t="shared" si="0"/>
        <v>0</v>
      </c>
      <c r="AB23" s="451">
        <f t="shared" si="1"/>
        <v>0</v>
      </c>
      <c r="AC23" s="872">
        <f>'t1'!N23</f>
        <v>0</v>
      </c>
    </row>
    <row r="24" spans="1:29" ht="14.1" customHeight="1">
      <c r="A24" s="152" t="str">
        <f>'t1'!A24</f>
        <v>POSIZIONE ECONOMICA D2</v>
      </c>
      <c r="B24" s="224" t="str">
        <f>'t1'!B24</f>
        <v>049000</v>
      </c>
      <c r="C24" s="255"/>
      <c r="D24" s="256"/>
      <c r="E24" s="257"/>
      <c r="F24" s="256"/>
      <c r="G24" s="255"/>
      <c r="H24" s="256"/>
      <c r="I24" s="255"/>
      <c r="J24" s="256"/>
      <c r="K24" s="255"/>
      <c r="L24" s="256"/>
      <c r="M24" s="255"/>
      <c r="N24" s="256"/>
      <c r="O24" s="257"/>
      <c r="P24" s="258"/>
      <c r="Q24" s="255"/>
      <c r="R24" s="256"/>
      <c r="S24" s="255"/>
      <c r="T24" s="256"/>
      <c r="U24" s="255"/>
      <c r="V24" s="256"/>
      <c r="W24" s="259"/>
      <c r="X24" s="256"/>
      <c r="Y24" s="259"/>
      <c r="Z24" s="256"/>
      <c r="AA24" s="450">
        <f t="shared" si="0"/>
        <v>0</v>
      </c>
      <c r="AB24" s="451">
        <f t="shared" si="1"/>
        <v>0</v>
      </c>
      <c r="AC24" s="872">
        <f>'t1'!N24</f>
        <v>0</v>
      </c>
    </row>
    <row r="25" spans="1:29" ht="14.1" customHeight="1">
      <c r="A25" s="152" t="str">
        <f>'t1'!A25</f>
        <v>POSIZIONE ECONOMICA DI ACCESSO D1</v>
      </c>
      <c r="B25" s="224" t="str">
        <f>'t1'!B25</f>
        <v>057000</v>
      </c>
      <c r="C25" s="255"/>
      <c r="D25" s="256"/>
      <c r="E25" s="257"/>
      <c r="F25" s="256"/>
      <c r="G25" s="255"/>
      <c r="H25" s="256"/>
      <c r="I25" s="255"/>
      <c r="J25" s="256"/>
      <c r="K25" s="255">
        <v>1</v>
      </c>
      <c r="L25" s="256"/>
      <c r="M25" s="255"/>
      <c r="N25" s="256"/>
      <c r="O25" s="257"/>
      <c r="P25" s="258"/>
      <c r="Q25" s="255"/>
      <c r="R25" s="256"/>
      <c r="S25" s="255"/>
      <c r="T25" s="256"/>
      <c r="U25" s="255"/>
      <c r="V25" s="256"/>
      <c r="W25" s="259"/>
      <c r="X25" s="256"/>
      <c r="Y25" s="259"/>
      <c r="Z25" s="256"/>
      <c r="AA25" s="450">
        <f t="shared" si="0"/>
        <v>1</v>
      </c>
      <c r="AB25" s="451">
        <f t="shared" si="1"/>
        <v>0</v>
      </c>
      <c r="AC25" s="872">
        <f>'t1'!N25</f>
        <v>1</v>
      </c>
    </row>
    <row r="26" spans="1:29" ht="14.1" customHeight="1">
      <c r="A26" s="152" t="str">
        <f>'t1'!A26</f>
        <v>POSIZIONE ECONOMICA C5</v>
      </c>
      <c r="B26" s="224" t="str">
        <f>'t1'!B26</f>
        <v>046000</v>
      </c>
      <c r="C26" s="255"/>
      <c r="D26" s="256"/>
      <c r="E26" s="257"/>
      <c r="F26" s="256"/>
      <c r="G26" s="255"/>
      <c r="H26" s="256"/>
      <c r="I26" s="255"/>
      <c r="J26" s="256"/>
      <c r="K26" s="255"/>
      <c r="L26" s="256"/>
      <c r="M26" s="255"/>
      <c r="N26" s="256"/>
      <c r="O26" s="257"/>
      <c r="P26" s="258"/>
      <c r="Q26" s="255"/>
      <c r="R26" s="256"/>
      <c r="S26" s="255"/>
      <c r="T26" s="256"/>
      <c r="U26" s="255"/>
      <c r="V26" s="256"/>
      <c r="W26" s="259"/>
      <c r="X26" s="256"/>
      <c r="Y26" s="259"/>
      <c r="Z26" s="256"/>
      <c r="AA26" s="450">
        <f t="shared" si="0"/>
        <v>0</v>
      </c>
      <c r="AB26" s="451">
        <f t="shared" si="1"/>
        <v>0</v>
      </c>
      <c r="AC26" s="872">
        <f>'t1'!N26</f>
        <v>0</v>
      </c>
    </row>
    <row r="27" spans="1:29" ht="14.1" customHeight="1">
      <c r="A27" s="152" t="str">
        <f>'t1'!A27</f>
        <v>POSIZIONE ECONOMICA C4</v>
      </c>
      <c r="B27" s="224" t="str">
        <f>'t1'!B27</f>
        <v>045000</v>
      </c>
      <c r="C27" s="255"/>
      <c r="D27" s="256"/>
      <c r="E27" s="257"/>
      <c r="F27" s="256"/>
      <c r="G27" s="255"/>
      <c r="H27" s="256"/>
      <c r="I27" s="255"/>
      <c r="J27" s="256"/>
      <c r="K27" s="255"/>
      <c r="L27" s="256"/>
      <c r="M27" s="255"/>
      <c r="N27" s="256"/>
      <c r="O27" s="257"/>
      <c r="P27" s="258"/>
      <c r="Q27" s="255"/>
      <c r="R27" s="256"/>
      <c r="S27" s="255"/>
      <c r="T27" s="256"/>
      <c r="U27" s="255"/>
      <c r="V27" s="256"/>
      <c r="W27" s="259"/>
      <c r="X27" s="256"/>
      <c r="Y27" s="259"/>
      <c r="Z27" s="256"/>
      <c r="AA27" s="450">
        <f t="shared" si="0"/>
        <v>0</v>
      </c>
      <c r="AB27" s="451">
        <f t="shared" si="1"/>
        <v>0</v>
      </c>
      <c r="AC27" s="872">
        <f>'t1'!N27</f>
        <v>0</v>
      </c>
    </row>
    <row r="28" spans="1:29" ht="14.1" customHeight="1">
      <c r="A28" s="152" t="str">
        <f>'t1'!A28</f>
        <v>POSIZIONE ECONOMICA C3</v>
      </c>
      <c r="B28" s="224" t="str">
        <f>'t1'!B28</f>
        <v>043000</v>
      </c>
      <c r="C28" s="255"/>
      <c r="D28" s="256"/>
      <c r="E28" s="257"/>
      <c r="F28" s="256"/>
      <c r="G28" s="255"/>
      <c r="H28" s="256"/>
      <c r="I28" s="255"/>
      <c r="J28" s="256"/>
      <c r="K28" s="255"/>
      <c r="L28" s="256"/>
      <c r="M28" s="255"/>
      <c r="N28" s="256"/>
      <c r="O28" s="257"/>
      <c r="P28" s="258"/>
      <c r="Q28" s="255"/>
      <c r="R28" s="256"/>
      <c r="S28" s="255"/>
      <c r="T28" s="256"/>
      <c r="U28" s="255"/>
      <c r="V28" s="256"/>
      <c r="W28" s="259"/>
      <c r="X28" s="256"/>
      <c r="Y28" s="259"/>
      <c r="Z28" s="256"/>
      <c r="AA28" s="450">
        <f t="shared" si="0"/>
        <v>0</v>
      </c>
      <c r="AB28" s="451">
        <f t="shared" si="1"/>
        <v>0</v>
      </c>
      <c r="AC28" s="872">
        <f>'t1'!N28</f>
        <v>0</v>
      </c>
    </row>
    <row r="29" spans="1:29" ht="14.1" customHeight="1">
      <c r="A29" s="152" t="str">
        <f>'t1'!A29</f>
        <v>POSIZIONE ECONOMICA C2</v>
      </c>
      <c r="B29" s="224" t="str">
        <f>'t1'!B29</f>
        <v>042000</v>
      </c>
      <c r="C29" s="255"/>
      <c r="D29" s="256"/>
      <c r="E29" s="257"/>
      <c r="F29" s="256"/>
      <c r="G29" s="255"/>
      <c r="H29" s="256"/>
      <c r="I29" s="255"/>
      <c r="J29" s="256"/>
      <c r="K29" s="255"/>
      <c r="L29" s="256"/>
      <c r="M29" s="255"/>
      <c r="N29" s="256"/>
      <c r="O29" s="257"/>
      <c r="P29" s="258">
        <v>1</v>
      </c>
      <c r="Q29" s="255"/>
      <c r="R29" s="256"/>
      <c r="S29" s="255"/>
      <c r="T29" s="256"/>
      <c r="U29" s="255"/>
      <c r="V29" s="256"/>
      <c r="W29" s="259"/>
      <c r="X29" s="256"/>
      <c r="Y29" s="259"/>
      <c r="Z29" s="256"/>
      <c r="AA29" s="450">
        <f t="shared" si="0"/>
        <v>0</v>
      </c>
      <c r="AB29" s="451">
        <f t="shared" si="1"/>
        <v>1</v>
      </c>
      <c r="AC29" s="872">
        <f>'t1'!N29</f>
        <v>1</v>
      </c>
    </row>
    <row r="30" spans="1:29" ht="14.1" customHeight="1">
      <c r="A30" s="152" t="str">
        <f>'t1'!A30</f>
        <v>POSIZIONE ECONOMICA DI ACCESSO C1</v>
      </c>
      <c r="B30" s="224" t="str">
        <f>'t1'!B30</f>
        <v>056000</v>
      </c>
      <c r="C30" s="255"/>
      <c r="D30" s="256"/>
      <c r="E30" s="257"/>
      <c r="F30" s="256"/>
      <c r="G30" s="255"/>
      <c r="H30" s="256"/>
      <c r="I30" s="255"/>
      <c r="J30" s="256"/>
      <c r="K30" s="255"/>
      <c r="L30" s="256"/>
      <c r="M30" s="255"/>
      <c r="N30" s="256">
        <v>1</v>
      </c>
      <c r="O30" s="257"/>
      <c r="P30" s="258">
        <v>1</v>
      </c>
      <c r="Q30" s="255"/>
      <c r="R30" s="256"/>
      <c r="S30" s="255"/>
      <c r="T30" s="256"/>
      <c r="U30" s="255"/>
      <c r="V30" s="256"/>
      <c r="W30" s="259"/>
      <c r="X30" s="256"/>
      <c r="Y30" s="259"/>
      <c r="Z30" s="256"/>
      <c r="AA30" s="450">
        <f t="shared" si="0"/>
        <v>0</v>
      </c>
      <c r="AB30" s="451">
        <f t="shared" si="1"/>
        <v>2</v>
      </c>
      <c r="AC30" s="872">
        <f>'t1'!N30</f>
        <v>1</v>
      </c>
    </row>
    <row r="31" spans="1:29" ht="14.1" customHeight="1">
      <c r="A31" s="152" t="str">
        <f>'t1'!A31</f>
        <v>POSIZ. ECON. B7 - PROFILO ACCESSO B3</v>
      </c>
      <c r="B31" s="224" t="str">
        <f>'t1'!B31</f>
        <v>0B7A00</v>
      </c>
      <c r="C31" s="255"/>
      <c r="D31" s="256"/>
      <c r="E31" s="257"/>
      <c r="F31" s="256"/>
      <c r="G31" s="255"/>
      <c r="H31" s="256"/>
      <c r="I31" s="255"/>
      <c r="J31" s="256"/>
      <c r="K31" s="255"/>
      <c r="L31" s="256"/>
      <c r="M31" s="255"/>
      <c r="N31" s="256"/>
      <c r="O31" s="257"/>
      <c r="P31" s="258"/>
      <c r="Q31" s="255"/>
      <c r="R31" s="256"/>
      <c r="S31" s="255"/>
      <c r="T31" s="256"/>
      <c r="U31" s="255"/>
      <c r="V31" s="256"/>
      <c r="W31" s="259"/>
      <c r="X31" s="256"/>
      <c r="Y31" s="259"/>
      <c r="Z31" s="256"/>
      <c r="AA31" s="450">
        <f t="shared" si="0"/>
        <v>0</v>
      </c>
      <c r="AB31" s="451">
        <f t="shared" si="1"/>
        <v>0</v>
      </c>
      <c r="AC31" s="872">
        <f>'t1'!N31</f>
        <v>0</v>
      </c>
    </row>
    <row r="32" spans="1:29" ht="14.1" customHeight="1">
      <c r="A32" s="152" t="str">
        <f>'t1'!A32</f>
        <v>POSIZ. ECON. B7 - PROFILO  ACCESSO B1</v>
      </c>
      <c r="B32" s="224" t="str">
        <f>'t1'!B32</f>
        <v>0B7000</v>
      </c>
      <c r="C32" s="255"/>
      <c r="D32" s="256"/>
      <c r="E32" s="257"/>
      <c r="F32" s="256"/>
      <c r="G32" s="255"/>
      <c r="H32" s="256"/>
      <c r="I32" s="255"/>
      <c r="J32" s="256"/>
      <c r="K32" s="255"/>
      <c r="L32" s="256"/>
      <c r="M32" s="255"/>
      <c r="N32" s="256"/>
      <c r="O32" s="257"/>
      <c r="P32" s="258"/>
      <c r="Q32" s="255"/>
      <c r="R32" s="256"/>
      <c r="S32" s="255"/>
      <c r="T32" s="256"/>
      <c r="U32" s="255"/>
      <c r="V32" s="256"/>
      <c r="W32" s="259"/>
      <c r="X32" s="256"/>
      <c r="Y32" s="259"/>
      <c r="Z32" s="256"/>
      <c r="AA32" s="450">
        <f t="shared" si="0"/>
        <v>0</v>
      </c>
      <c r="AB32" s="451">
        <f t="shared" si="1"/>
        <v>0</v>
      </c>
      <c r="AC32" s="872">
        <f>'t1'!N32</f>
        <v>0</v>
      </c>
    </row>
    <row r="33" spans="1:29" ht="14.1" customHeight="1">
      <c r="A33" s="152" t="str">
        <f>'t1'!A33</f>
        <v>POSIZ. ECON. B6 PROFILI ACCESSO B3</v>
      </c>
      <c r="B33" s="224" t="str">
        <f>'t1'!B33</f>
        <v>038490</v>
      </c>
      <c r="C33" s="255"/>
      <c r="D33" s="256"/>
      <c r="E33" s="257"/>
      <c r="F33" s="256"/>
      <c r="G33" s="255"/>
      <c r="H33" s="256"/>
      <c r="I33" s="255"/>
      <c r="J33" s="256"/>
      <c r="K33" s="255"/>
      <c r="L33" s="256"/>
      <c r="M33" s="255"/>
      <c r="N33" s="256"/>
      <c r="O33" s="257"/>
      <c r="P33" s="258"/>
      <c r="Q33" s="255"/>
      <c r="R33" s="256"/>
      <c r="S33" s="255"/>
      <c r="T33" s="256"/>
      <c r="U33" s="255"/>
      <c r="V33" s="256"/>
      <c r="W33" s="259"/>
      <c r="X33" s="256"/>
      <c r="Y33" s="259"/>
      <c r="Z33" s="256"/>
      <c r="AA33" s="450">
        <f t="shared" si="0"/>
        <v>0</v>
      </c>
      <c r="AB33" s="451">
        <f t="shared" si="1"/>
        <v>0</v>
      </c>
      <c r="AC33" s="872">
        <f>'t1'!N33</f>
        <v>0</v>
      </c>
    </row>
    <row r="34" spans="1:29" ht="14.1" customHeight="1">
      <c r="A34" s="152" t="str">
        <f>'t1'!A34</f>
        <v>POSIZ. ECON. B6 PROFILI ACCESSO B1</v>
      </c>
      <c r="B34" s="224" t="str">
        <f>'t1'!B34</f>
        <v>038491</v>
      </c>
      <c r="C34" s="255"/>
      <c r="D34" s="256"/>
      <c r="E34" s="257"/>
      <c r="F34" s="256"/>
      <c r="G34" s="255"/>
      <c r="H34" s="256"/>
      <c r="I34" s="255"/>
      <c r="J34" s="256"/>
      <c r="K34" s="255"/>
      <c r="L34" s="256"/>
      <c r="M34" s="255"/>
      <c r="N34" s="256"/>
      <c r="O34" s="257"/>
      <c r="P34" s="258"/>
      <c r="Q34" s="255"/>
      <c r="R34" s="256"/>
      <c r="S34" s="255"/>
      <c r="T34" s="256"/>
      <c r="U34" s="255"/>
      <c r="V34" s="256"/>
      <c r="W34" s="259"/>
      <c r="X34" s="256"/>
      <c r="Y34" s="259"/>
      <c r="Z34" s="256"/>
      <c r="AA34" s="450">
        <f t="shared" si="0"/>
        <v>0</v>
      </c>
      <c r="AB34" s="451">
        <f t="shared" si="1"/>
        <v>0</v>
      </c>
      <c r="AC34" s="872">
        <f>'t1'!N34</f>
        <v>0</v>
      </c>
    </row>
    <row r="35" spans="1:29" ht="14.1" customHeight="1">
      <c r="A35" s="152" t="str">
        <f>'t1'!A35</f>
        <v>POSIZ. ECON. B5 PROFILI ACCESSO B3</v>
      </c>
      <c r="B35" s="224" t="str">
        <f>'t1'!B35</f>
        <v>037492</v>
      </c>
      <c r="C35" s="255"/>
      <c r="D35" s="256"/>
      <c r="E35" s="257"/>
      <c r="F35" s="256"/>
      <c r="G35" s="255"/>
      <c r="H35" s="256"/>
      <c r="I35" s="255"/>
      <c r="J35" s="256"/>
      <c r="K35" s="255"/>
      <c r="L35" s="256"/>
      <c r="M35" s="255"/>
      <c r="N35" s="256"/>
      <c r="O35" s="257"/>
      <c r="P35" s="258"/>
      <c r="Q35" s="255"/>
      <c r="R35" s="256"/>
      <c r="S35" s="255"/>
      <c r="T35" s="256"/>
      <c r="U35" s="255"/>
      <c r="V35" s="256"/>
      <c r="W35" s="259"/>
      <c r="X35" s="256"/>
      <c r="Y35" s="259"/>
      <c r="Z35" s="256"/>
      <c r="AA35" s="450">
        <f t="shared" si="0"/>
        <v>0</v>
      </c>
      <c r="AB35" s="451">
        <f t="shared" si="1"/>
        <v>0</v>
      </c>
      <c r="AC35" s="872">
        <f>'t1'!N35</f>
        <v>0</v>
      </c>
    </row>
    <row r="36" spans="1:29" ht="14.1" customHeight="1">
      <c r="A36" s="152" t="str">
        <f>'t1'!A36</f>
        <v>POSIZ. ECON. B5 PROFILI ACCESSO B1</v>
      </c>
      <c r="B36" s="224" t="str">
        <f>'t1'!B36</f>
        <v>037493</v>
      </c>
      <c r="C36" s="255"/>
      <c r="D36" s="256"/>
      <c r="E36" s="257"/>
      <c r="F36" s="256"/>
      <c r="G36" s="255"/>
      <c r="H36" s="256"/>
      <c r="I36" s="255"/>
      <c r="J36" s="256"/>
      <c r="K36" s="255"/>
      <c r="L36" s="256"/>
      <c r="M36" s="255"/>
      <c r="N36" s="256"/>
      <c r="O36" s="257"/>
      <c r="P36" s="258"/>
      <c r="Q36" s="255"/>
      <c r="R36" s="256"/>
      <c r="S36" s="255"/>
      <c r="T36" s="256"/>
      <c r="U36" s="255"/>
      <c r="V36" s="256"/>
      <c r="W36" s="259"/>
      <c r="X36" s="256"/>
      <c r="Y36" s="259"/>
      <c r="Z36" s="256"/>
      <c r="AA36" s="450">
        <f t="shared" si="0"/>
        <v>0</v>
      </c>
      <c r="AB36" s="451">
        <f t="shared" si="1"/>
        <v>0</v>
      </c>
      <c r="AC36" s="872">
        <f>'t1'!N36</f>
        <v>0</v>
      </c>
    </row>
    <row r="37" spans="1:29" ht="14.1" customHeight="1">
      <c r="A37" s="152" t="str">
        <f>'t1'!A37</f>
        <v>POSIZ. ECON. B4 PROFILI ACCESSO B3</v>
      </c>
      <c r="B37" s="224" t="str">
        <f>'t1'!B37</f>
        <v>036494</v>
      </c>
      <c r="C37" s="255"/>
      <c r="D37" s="256"/>
      <c r="E37" s="257"/>
      <c r="F37" s="256"/>
      <c r="G37" s="255"/>
      <c r="H37" s="256"/>
      <c r="I37" s="255"/>
      <c r="J37" s="256"/>
      <c r="K37" s="255"/>
      <c r="L37" s="256"/>
      <c r="M37" s="255"/>
      <c r="N37" s="256"/>
      <c r="O37" s="257"/>
      <c r="P37" s="258"/>
      <c r="Q37" s="255"/>
      <c r="R37" s="256"/>
      <c r="S37" s="255"/>
      <c r="T37" s="256"/>
      <c r="U37" s="255"/>
      <c r="V37" s="256"/>
      <c r="W37" s="259"/>
      <c r="X37" s="256"/>
      <c r="Y37" s="259"/>
      <c r="Z37" s="256"/>
      <c r="AA37" s="450">
        <f t="shared" si="0"/>
        <v>0</v>
      </c>
      <c r="AB37" s="451">
        <f t="shared" si="1"/>
        <v>0</v>
      </c>
      <c r="AC37" s="872">
        <f>'t1'!N37</f>
        <v>0</v>
      </c>
    </row>
    <row r="38" spans="1:29" ht="14.1" customHeight="1">
      <c r="A38" s="152" t="str">
        <f>'t1'!A38</f>
        <v>POSIZ. ECON. B4 PROFILI ACCESSO B1</v>
      </c>
      <c r="B38" s="224" t="str">
        <f>'t1'!B38</f>
        <v>036495</v>
      </c>
      <c r="C38" s="255"/>
      <c r="D38" s="256"/>
      <c r="E38" s="257"/>
      <c r="F38" s="256"/>
      <c r="G38" s="255"/>
      <c r="H38" s="256"/>
      <c r="I38" s="255"/>
      <c r="J38" s="256"/>
      <c r="K38" s="255"/>
      <c r="L38" s="256"/>
      <c r="M38" s="255"/>
      <c r="N38" s="256"/>
      <c r="O38" s="257"/>
      <c r="P38" s="258"/>
      <c r="Q38" s="255"/>
      <c r="R38" s="256"/>
      <c r="S38" s="255"/>
      <c r="T38" s="256"/>
      <c r="U38" s="255"/>
      <c r="V38" s="256"/>
      <c r="W38" s="259"/>
      <c r="X38" s="256"/>
      <c r="Y38" s="259"/>
      <c r="Z38" s="256"/>
      <c r="AA38" s="450">
        <f t="shared" si="0"/>
        <v>0</v>
      </c>
      <c r="AB38" s="451">
        <f t="shared" si="1"/>
        <v>0</v>
      </c>
      <c r="AC38" s="872">
        <f>'t1'!N38</f>
        <v>0</v>
      </c>
    </row>
    <row r="39" spans="1:29" ht="14.1" customHeight="1">
      <c r="A39" s="152" t="str">
        <f>'t1'!A39</f>
        <v>POSIZIONE ECONOMICA DI ACCESSO B3</v>
      </c>
      <c r="B39" s="224" t="str">
        <f>'t1'!B39</f>
        <v>055000</v>
      </c>
      <c r="C39" s="255"/>
      <c r="D39" s="256"/>
      <c r="E39" s="257"/>
      <c r="F39" s="256"/>
      <c r="G39" s="255"/>
      <c r="H39" s="256"/>
      <c r="I39" s="255"/>
      <c r="J39" s="256"/>
      <c r="K39" s="255"/>
      <c r="L39" s="256"/>
      <c r="M39" s="255"/>
      <c r="N39" s="256"/>
      <c r="O39" s="257"/>
      <c r="P39" s="258"/>
      <c r="Q39" s="255"/>
      <c r="R39" s="256"/>
      <c r="S39" s="255"/>
      <c r="T39" s="256"/>
      <c r="U39" s="255"/>
      <c r="V39" s="256"/>
      <c r="W39" s="259"/>
      <c r="X39" s="256"/>
      <c r="Y39" s="259"/>
      <c r="Z39" s="256"/>
      <c r="AA39" s="450">
        <f t="shared" si="0"/>
        <v>0</v>
      </c>
      <c r="AB39" s="451">
        <f t="shared" si="1"/>
        <v>0</v>
      </c>
      <c r="AC39" s="872">
        <f>'t1'!N39</f>
        <v>0</v>
      </c>
    </row>
    <row r="40" spans="1:29" ht="14.1" customHeight="1">
      <c r="A40" s="152" t="str">
        <f>'t1'!A40</f>
        <v>POSIZIONE ECONOMICA B3</v>
      </c>
      <c r="B40" s="224" t="str">
        <f>'t1'!B40</f>
        <v>034000</v>
      </c>
      <c r="C40" s="255"/>
      <c r="D40" s="256"/>
      <c r="E40" s="257"/>
      <c r="F40" s="256"/>
      <c r="G40" s="255"/>
      <c r="H40" s="256"/>
      <c r="I40" s="255"/>
      <c r="J40" s="256"/>
      <c r="K40" s="255"/>
      <c r="L40" s="256"/>
      <c r="M40" s="255"/>
      <c r="N40" s="256"/>
      <c r="O40" s="257"/>
      <c r="P40" s="258"/>
      <c r="Q40" s="255"/>
      <c r="R40" s="256"/>
      <c r="S40" s="255"/>
      <c r="T40" s="256"/>
      <c r="U40" s="255"/>
      <c r="V40" s="256"/>
      <c r="W40" s="259"/>
      <c r="X40" s="256"/>
      <c r="Y40" s="259"/>
      <c r="Z40" s="256"/>
      <c r="AA40" s="450">
        <f t="shared" si="0"/>
        <v>0</v>
      </c>
      <c r="AB40" s="451">
        <f t="shared" si="1"/>
        <v>0</v>
      </c>
      <c r="AC40" s="872">
        <f>'t1'!N40</f>
        <v>0</v>
      </c>
    </row>
    <row r="41" spans="1:29" ht="14.1" customHeight="1">
      <c r="A41" s="152" t="str">
        <f>'t1'!A41</f>
        <v>POSIZIONE ECONOMICA B2</v>
      </c>
      <c r="B41" s="224" t="str">
        <f>'t1'!B41</f>
        <v>032000</v>
      </c>
      <c r="C41" s="255"/>
      <c r="D41" s="256"/>
      <c r="E41" s="257"/>
      <c r="F41" s="256"/>
      <c r="G41" s="255"/>
      <c r="H41" s="256"/>
      <c r="I41" s="255"/>
      <c r="J41" s="256"/>
      <c r="K41" s="255"/>
      <c r="L41" s="256"/>
      <c r="M41" s="255"/>
      <c r="N41" s="256"/>
      <c r="O41" s="257"/>
      <c r="P41" s="258"/>
      <c r="Q41" s="255"/>
      <c r="R41" s="256"/>
      <c r="S41" s="255"/>
      <c r="T41" s="256"/>
      <c r="U41" s="255"/>
      <c r="V41" s="256"/>
      <c r="W41" s="259"/>
      <c r="X41" s="256"/>
      <c r="Y41" s="259"/>
      <c r="Z41" s="256"/>
      <c r="AA41" s="450">
        <f t="shared" si="0"/>
        <v>0</v>
      </c>
      <c r="AB41" s="451">
        <f t="shared" si="1"/>
        <v>0</v>
      </c>
      <c r="AC41" s="872">
        <f>'t1'!N41</f>
        <v>0</v>
      </c>
    </row>
    <row r="42" spans="1:29" ht="14.1" customHeight="1">
      <c r="A42" s="152" t="str">
        <f>'t1'!A42</f>
        <v>POSIZIONE ECONOMICA DI ACCESSO B1</v>
      </c>
      <c r="B42" s="224" t="str">
        <f>'t1'!B42</f>
        <v>054000</v>
      </c>
      <c r="C42" s="255"/>
      <c r="D42" s="256"/>
      <c r="E42" s="257"/>
      <c r="F42" s="256"/>
      <c r="G42" s="255"/>
      <c r="H42" s="256"/>
      <c r="I42" s="255"/>
      <c r="J42" s="256"/>
      <c r="K42" s="255"/>
      <c r="L42" s="256"/>
      <c r="M42" s="255"/>
      <c r="N42" s="256"/>
      <c r="O42" s="257"/>
      <c r="P42" s="258"/>
      <c r="Q42" s="255"/>
      <c r="R42" s="256"/>
      <c r="S42" s="255"/>
      <c r="T42" s="256"/>
      <c r="U42" s="255"/>
      <c r="V42" s="256"/>
      <c r="W42" s="259"/>
      <c r="X42" s="256"/>
      <c r="Y42" s="259"/>
      <c r="Z42" s="256"/>
      <c r="AA42" s="450">
        <f t="shared" si="0"/>
        <v>0</v>
      </c>
      <c r="AB42" s="451">
        <f t="shared" si="1"/>
        <v>0</v>
      </c>
      <c r="AC42" s="872">
        <f>'t1'!N42</f>
        <v>0</v>
      </c>
    </row>
    <row r="43" spans="1:29" ht="14.1" customHeight="1">
      <c r="A43" s="152" t="str">
        <f>'t1'!A43</f>
        <v>POSIZIONE ECONOMICA A5</v>
      </c>
      <c r="B43" s="224" t="str">
        <f>'t1'!B43</f>
        <v>0A5000</v>
      </c>
      <c r="C43" s="255"/>
      <c r="D43" s="256"/>
      <c r="E43" s="257"/>
      <c r="F43" s="256"/>
      <c r="G43" s="255"/>
      <c r="H43" s="256"/>
      <c r="I43" s="255"/>
      <c r="J43" s="256"/>
      <c r="K43" s="255"/>
      <c r="L43" s="256"/>
      <c r="M43" s="255"/>
      <c r="N43" s="256"/>
      <c r="O43" s="257"/>
      <c r="P43" s="258"/>
      <c r="Q43" s="255"/>
      <c r="R43" s="256"/>
      <c r="S43" s="255"/>
      <c r="T43" s="256"/>
      <c r="U43" s="255"/>
      <c r="V43" s="256"/>
      <c r="W43" s="259"/>
      <c r="X43" s="256"/>
      <c r="Y43" s="259"/>
      <c r="Z43" s="256"/>
      <c r="AA43" s="450">
        <f t="shared" si="0"/>
        <v>0</v>
      </c>
      <c r="AB43" s="451">
        <f t="shared" si="1"/>
        <v>0</v>
      </c>
      <c r="AC43" s="872">
        <f>'t1'!N43</f>
        <v>0</v>
      </c>
    </row>
    <row r="44" spans="1:29" ht="14.1" customHeight="1">
      <c r="A44" s="152" t="str">
        <f>'t1'!A44</f>
        <v>POSIZIONE ECONOMICA A4</v>
      </c>
      <c r="B44" s="224" t="str">
        <f>'t1'!B44</f>
        <v>028000</v>
      </c>
      <c r="C44" s="255"/>
      <c r="D44" s="256"/>
      <c r="E44" s="257"/>
      <c r="F44" s="256"/>
      <c r="G44" s="255"/>
      <c r="H44" s="256"/>
      <c r="I44" s="255"/>
      <c r="J44" s="256"/>
      <c r="K44" s="255"/>
      <c r="L44" s="256"/>
      <c r="M44" s="255"/>
      <c r="N44" s="256"/>
      <c r="O44" s="257"/>
      <c r="P44" s="258"/>
      <c r="Q44" s="255"/>
      <c r="R44" s="256"/>
      <c r="S44" s="255"/>
      <c r="T44" s="256"/>
      <c r="U44" s="255"/>
      <c r="V44" s="256"/>
      <c r="W44" s="259"/>
      <c r="X44" s="256"/>
      <c r="Y44" s="259"/>
      <c r="Z44" s="256"/>
      <c r="AA44" s="450">
        <f t="shared" si="0"/>
        <v>0</v>
      </c>
      <c r="AB44" s="451">
        <f t="shared" si="1"/>
        <v>0</v>
      </c>
      <c r="AC44" s="872">
        <f>'t1'!N44</f>
        <v>0</v>
      </c>
    </row>
    <row r="45" spans="1:29" ht="14.1" customHeight="1">
      <c r="A45" s="152" t="str">
        <f>'t1'!A45</f>
        <v>POSIZIONE ECONOMICA A3</v>
      </c>
      <c r="B45" s="224" t="str">
        <f>'t1'!B45</f>
        <v>027000</v>
      </c>
      <c r="C45" s="255"/>
      <c r="D45" s="256"/>
      <c r="E45" s="257"/>
      <c r="F45" s="256"/>
      <c r="G45" s="255"/>
      <c r="H45" s="256"/>
      <c r="I45" s="255"/>
      <c r="J45" s="256"/>
      <c r="K45" s="255"/>
      <c r="L45" s="256"/>
      <c r="M45" s="255"/>
      <c r="N45" s="256"/>
      <c r="O45" s="257"/>
      <c r="P45" s="258"/>
      <c r="Q45" s="255"/>
      <c r="R45" s="256"/>
      <c r="S45" s="255"/>
      <c r="T45" s="256"/>
      <c r="U45" s="255"/>
      <c r="V45" s="256"/>
      <c r="W45" s="259"/>
      <c r="X45" s="256"/>
      <c r="Y45" s="259"/>
      <c r="Z45" s="256"/>
      <c r="AA45" s="450">
        <f t="shared" si="0"/>
        <v>0</v>
      </c>
      <c r="AB45" s="451">
        <f t="shared" si="1"/>
        <v>0</v>
      </c>
      <c r="AC45" s="872">
        <f>'t1'!N45</f>
        <v>0</v>
      </c>
    </row>
    <row r="46" spans="1:29" ht="14.1" customHeight="1">
      <c r="A46" s="152" t="str">
        <f>'t1'!A46</f>
        <v>POSIZIONE ECONOMICA A2</v>
      </c>
      <c r="B46" s="224" t="str">
        <f>'t1'!B46</f>
        <v>025000</v>
      </c>
      <c r="C46" s="255"/>
      <c r="D46" s="256"/>
      <c r="E46" s="257"/>
      <c r="F46" s="256"/>
      <c r="G46" s="255"/>
      <c r="H46" s="256"/>
      <c r="I46" s="255"/>
      <c r="J46" s="256"/>
      <c r="K46" s="255"/>
      <c r="L46" s="256"/>
      <c r="M46" s="255"/>
      <c r="N46" s="256"/>
      <c r="O46" s="257"/>
      <c r="P46" s="258"/>
      <c r="Q46" s="255"/>
      <c r="R46" s="256"/>
      <c r="S46" s="255"/>
      <c r="T46" s="256"/>
      <c r="U46" s="255"/>
      <c r="V46" s="256"/>
      <c r="W46" s="259"/>
      <c r="X46" s="256"/>
      <c r="Y46" s="259"/>
      <c r="Z46" s="256"/>
      <c r="AA46" s="450">
        <f t="shared" si="0"/>
        <v>0</v>
      </c>
      <c r="AB46" s="451">
        <f t="shared" si="1"/>
        <v>0</v>
      </c>
      <c r="AC46" s="872">
        <f>'t1'!N46</f>
        <v>0</v>
      </c>
    </row>
    <row r="47" spans="1:29" ht="14.1" customHeight="1">
      <c r="A47" s="152" t="str">
        <f>'t1'!A47</f>
        <v>POSIZIONE ECONOMICA DI ACCESSO A1</v>
      </c>
      <c r="B47" s="224" t="str">
        <f>'t1'!B47</f>
        <v>053000</v>
      </c>
      <c r="C47" s="255"/>
      <c r="D47" s="256"/>
      <c r="E47" s="257"/>
      <c r="F47" s="256"/>
      <c r="G47" s="255"/>
      <c r="H47" s="256"/>
      <c r="I47" s="255"/>
      <c r="J47" s="256"/>
      <c r="K47" s="255"/>
      <c r="L47" s="256"/>
      <c r="M47" s="255"/>
      <c r="N47" s="256"/>
      <c r="O47" s="257"/>
      <c r="P47" s="258"/>
      <c r="Q47" s="255"/>
      <c r="R47" s="256"/>
      <c r="S47" s="255"/>
      <c r="T47" s="256"/>
      <c r="U47" s="255"/>
      <c r="V47" s="256"/>
      <c r="W47" s="259"/>
      <c r="X47" s="256"/>
      <c r="Y47" s="259"/>
      <c r="Z47" s="256"/>
      <c r="AA47" s="450">
        <f t="shared" si="0"/>
        <v>0</v>
      </c>
      <c r="AB47" s="451">
        <f t="shared" si="1"/>
        <v>0</v>
      </c>
      <c r="AC47" s="872">
        <f>'t1'!N47</f>
        <v>0</v>
      </c>
    </row>
    <row r="48" spans="1:29" ht="14.1" customHeight="1">
      <c r="A48" s="152" t="str">
        <f>'t1'!A48</f>
        <v>CONTRATTISTI (a)</v>
      </c>
      <c r="B48" s="224" t="str">
        <f>'t1'!B48</f>
        <v>000061</v>
      </c>
      <c r="C48" s="255"/>
      <c r="D48" s="256"/>
      <c r="E48" s="257"/>
      <c r="F48" s="256"/>
      <c r="G48" s="255"/>
      <c r="H48" s="256"/>
      <c r="I48" s="255"/>
      <c r="J48" s="256"/>
      <c r="K48" s="255"/>
      <c r="L48" s="256"/>
      <c r="M48" s="255"/>
      <c r="N48" s="256"/>
      <c r="O48" s="257"/>
      <c r="P48" s="258"/>
      <c r="Q48" s="255"/>
      <c r="R48" s="256"/>
      <c r="S48" s="255"/>
      <c r="T48" s="256"/>
      <c r="U48" s="255"/>
      <c r="V48" s="256"/>
      <c r="W48" s="259"/>
      <c r="X48" s="256"/>
      <c r="Y48" s="259"/>
      <c r="Z48" s="256"/>
      <c r="AA48" s="450">
        <f>SUM(C48,E48,G48,I48,K48,M48,O48,Q48,S48,U48,W48,Y48)</f>
        <v>0</v>
      </c>
      <c r="AB48" s="451">
        <f>SUM(D48,F48,H48,J48,L48,N48,P48,R48,T48,V48,X48,Z48)</f>
        <v>0</v>
      </c>
      <c r="AC48" s="872">
        <f>'t1'!N48</f>
        <v>0</v>
      </c>
    </row>
    <row r="49" spans="1:29" ht="14.1" customHeight="1" thickBot="1">
      <c r="A49" s="152" t="str">
        <f>'t1'!A49</f>
        <v>COLLABORATORE A T.D. ART. 90 TUEL (b)</v>
      </c>
      <c r="B49" s="224" t="str">
        <f>'t1'!B49</f>
        <v>000096</v>
      </c>
      <c r="C49" s="255"/>
      <c r="D49" s="256"/>
      <c r="E49" s="257"/>
      <c r="F49" s="256"/>
      <c r="G49" s="255"/>
      <c r="H49" s="256"/>
      <c r="I49" s="255"/>
      <c r="J49" s="256"/>
      <c r="K49" s="255"/>
      <c r="L49" s="256"/>
      <c r="M49" s="255"/>
      <c r="N49" s="256"/>
      <c r="O49" s="257"/>
      <c r="P49" s="258"/>
      <c r="Q49" s="255"/>
      <c r="R49" s="256"/>
      <c r="S49" s="255"/>
      <c r="T49" s="256"/>
      <c r="U49" s="255"/>
      <c r="V49" s="256"/>
      <c r="W49" s="259"/>
      <c r="X49" s="256"/>
      <c r="Y49" s="259"/>
      <c r="Z49" s="256"/>
      <c r="AA49" s="450">
        <f t="shared" si="0"/>
        <v>0</v>
      </c>
      <c r="AB49" s="451">
        <f t="shared" si="1"/>
        <v>0</v>
      </c>
      <c r="AC49" s="872">
        <f>'t1'!N49</f>
        <v>0</v>
      </c>
    </row>
    <row r="50" spans="1:29" ht="16.5" customHeight="1" thickTop="1" thickBot="1">
      <c r="A50" s="58" t="s">
        <v>107</v>
      </c>
      <c r="B50" s="59"/>
      <c r="C50" s="452">
        <f t="shared" ref="C50:AB50" si="2">SUM(C6:C49)</f>
        <v>0</v>
      </c>
      <c r="D50" s="454">
        <f t="shared" si="2"/>
        <v>0</v>
      </c>
      <c r="E50" s="452">
        <f t="shared" si="2"/>
        <v>0</v>
      </c>
      <c r="F50" s="454">
        <f t="shared" si="2"/>
        <v>0</v>
      </c>
      <c r="G50" s="452">
        <f t="shared" si="2"/>
        <v>0</v>
      </c>
      <c r="H50" s="454">
        <f t="shared" si="2"/>
        <v>0</v>
      </c>
      <c r="I50" s="452">
        <f t="shared" si="2"/>
        <v>0</v>
      </c>
      <c r="J50" s="454">
        <f t="shared" si="2"/>
        <v>0</v>
      </c>
      <c r="K50" s="452">
        <f t="shared" si="2"/>
        <v>1</v>
      </c>
      <c r="L50" s="454">
        <f t="shared" si="2"/>
        <v>0</v>
      </c>
      <c r="M50" s="452">
        <f t="shared" si="2"/>
        <v>0</v>
      </c>
      <c r="N50" s="454">
        <f t="shared" si="2"/>
        <v>1</v>
      </c>
      <c r="O50" s="452">
        <f t="shared" si="2"/>
        <v>0</v>
      </c>
      <c r="P50" s="454">
        <f t="shared" si="2"/>
        <v>2</v>
      </c>
      <c r="Q50" s="452">
        <f t="shared" si="2"/>
        <v>0</v>
      </c>
      <c r="R50" s="454">
        <f t="shared" si="2"/>
        <v>0</v>
      </c>
      <c r="S50" s="452">
        <f t="shared" si="2"/>
        <v>0</v>
      </c>
      <c r="T50" s="454">
        <f t="shared" si="2"/>
        <v>0</v>
      </c>
      <c r="U50" s="452">
        <f t="shared" si="2"/>
        <v>0</v>
      </c>
      <c r="V50" s="454">
        <f t="shared" si="2"/>
        <v>0</v>
      </c>
      <c r="W50" s="452">
        <f>SUM(W6:W49)</f>
        <v>0</v>
      </c>
      <c r="X50" s="454">
        <f>SUM(X6:X49)</f>
        <v>0</v>
      </c>
      <c r="Y50" s="452">
        <f t="shared" si="2"/>
        <v>0</v>
      </c>
      <c r="Z50" s="454">
        <f t="shared" si="2"/>
        <v>0</v>
      </c>
      <c r="AA50" s="452">
        <f t="shared" si="2"/>
        <v>1</v>
      </c>
      <c r="AB50" s="453">
        <f t="shared" si="2"/>
        <v>3</v>
      </c>
    </row>
    <row r="51" spans="1:29" ht="8.25" customHeight="1">
      <c r="A51" s="155"/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</row>
    <row r="52" spans="1:29">
      <c r="A52" s="25" t="str">
        <f>'t1'!$A$201</f>
        <v>(a) personale a tempo indeterminato al quale viene applicato un contratto di lavoro di tipo privatistico (es.:tipografico,chimico,edile,metalmeccanico,portierato, ecc.)</v>
      </c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80"/>
    </row>
    <row r="53" spans="1:29" s="5" customFormat="1">
      <c r="A53" s="25" t="str">
        <f>'t1'!$A$202</f>
        <v>(b) cfr." istruzioni generali e specifiche di comparto" e "glossario"</v>
      </c>
      <c r="B53" s="7"/>
    </row>
  </sheetData>
  <sheetProtection password="EA98" sheet="1" formatColumns="0" selectLockedCells="1"/>
  <mergeCells count="14">
    <mergeCell ref="AA4:AB4"/>
    <mergeCell ref="U4:V4"/>
    <mergeCell ref="Y4:Z4"/>
    <mergeCell ref="W4:X4"/>
    <mergeCell ref="A1:Y1"/>
    <mergeCell ref="S2:AB2"/>
    <mergeCell ref="M4:N4"/>
    <mergeCell ref="C4:D4"/>
    <mergeCell ref="G4:H4"/>
    <mergeCell ref="I4:J4"/>
    <mergeCell ref="K4:L4"/>
    <mergeCell ref="O4:P4"/>
    <mergeCell ref="Q4:R4"/>
    <mergeCell ref="S4:T4"/>
  </mergeCells>
  <phoneticPr fontId="30" type="noConversion"/>
  <conditionalFormatting sqref="A6:AB49">
    <cfRule type="expression" dxfId="10" priority="1" stopIfTrue="1">
      <formula>$AC6&gt;0</formula>
    </cfRule>
  </conditionalFormatting>
  <printOptions horizontalCentered="1" verticalCentered="1"/>
  <pageMargins left="0" right="0" top="0.19685039370078741" bottom="0.17" header="0.23" footer="0.18"/>
  <pageSetup paperSize="9" scale="71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>
    <pageSetUpPr fitToPage="1"/>
  </sheetPr>
  <dimension ref="A1:T52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ColWidth="10.7109375" defaultRowHeight="13.2"/>
  <cols>
    <col min="1" max="1" width="43" style="35" customWidth="1"/>
    <col min="2" max="2" width="10.85546875" style="35" customWidth="1"/>
    <col min="3" max="16" width="13.7109375" style="35" customWidth="1"/>
    <col min="17" max="17" width="0" style="35" hidden="1" customWidth="1"/>
    <col min="18" max="16384" width="10.7109375" style="35"/>
  </cols>
  <sheetData>
    <row r="1" spans="1:17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1442"/>
      <c r="L1" s="1442"/>
      <c r="M1" s="1442"/>
      <c r="N1" s="1442"/>
      <c r="O1" s="3"/>
      <c r="P1" s="311"/>
      <c r="Q1"/>
    </row>
    <row r="2" spans="1:17" s="5" customFormat="1" ht="5.25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"/>
      <c r="P2" s="311"/>
      <c r="Q2"/>
    </row>
    <row r="3" spans="1:17" ht="30" customHeight="1" thickBot="1">
      <c r="M3" s="1443"/>
      <c r="N3" s="1443"/>
      <c r="O3" s="1443"/>
      <c r="P3" s="1443"/>
    </row>
    <row r="4" spans="1:17" ht="24.9" customHeight="1">
      <c r="A4" s="275" t="s">
        <v>178</v>
      </c>
      <c r="B4" s="260" t="s">
        <v>103</v>
      </c>
      <c r="C4" s="36" t="s">
        <v>111</v>
      </c>
      <c r="D4" s="37"/>
      <c r="E4" s="36" t="s">
        <v>112</v>
      </c>
      <c r="F4" s="37"/>
      <c r="G4" s="1477" t="s">
        <v>87</v>
      </c>
      <c r="H4" s="1478"/>
      <c r="I4" s="1477" t="s">
        <v>113</v>
      </c>
      <c r="J4" s="1478"/>
      <c r="K4" s="1477" t="s">
        <v>88</v>
      </c>
      <c r="L4" s="1478"/>
      <c r="M4" s="1477" t="s">
        <v>89</v>
      </c>
      <c r="N4" s="1478"/>
      <c r="O4" s="530" t="s">
        <v>107</v>
      </c>
      <c r="P4" s="531"/>
    </row>
    <row r="5" spans="1:17" ht="14.25" customHeight="1" thickBot="1">
      <c r="A5" s="877" t="s">
        <v>825</v>
      </c>
      <c r="B5" s="38"/>
      <c r="C5" s="39" t="s">
        <v>105</v>
      </c>
      <c r="D5" s="40" t="s">
        <v>106</v>
      </c>
      <c r="E5" s="39" t="s">
        <v>105</v>
      </c>
      <c r="F5" s="40" t="s">
        <v>106</v>
      </c>
      <c r="G5" s="39" t="s">
        <v>105</v>
      </c>
      <c r="H5" s="41" t="s">
        <v>106</v>
      </c>
      <c r="I5" s="39" t="s">
        <v>105</v>
      </c>
      <c r="J5" s="41" t="s">
        <v>106</v>
      </c>
      <c r="K5" s="39" t="s">
        <v>105</v>
      </c>
      <c r="L5" s="42" t="s">
        <v>106</v>
      </c>
      <c r="M5" s="39" t="s">
        <v>105</v>
      </c>
      <c r="N5" s="42" t="s">
        <v>106</v>
      </c>
      <c r="O5" s="532" t="s">
        <v>105</v>
      </c>
      <c r="P5" s="533" t="s">
        <v>106</v>
      </c>
    </row>
    <row r="6" spans="1:17" ht="14.1" customHeight="1" thickTop="1">
      <c r="A6" s="152" t="str">
        <f>'t1'!A6</f>
        <v>SEGRETARIO A</v>
      </c>
      <c r="B6" s="224" t="str">
        <f>'t1'!B6</f>
        <v>0D0102</v>
      </c>
      <c r="C6" s="329"/>
      <c r="D6" s="330"/>
      <c r="E6" s="329"/>
      <c r="F6" s="330"/>
      <c r="G6" s="329"/>
      <c r="H6" s="331"/>
      <c r="I6" s="527"/>
      <c r="J6" s="331"/>
      <c r="K6" s="527"/>
      <c r="L6" s="331"/>
      <c r="M6" s="332"/>
      <c r="N6" s="333"/>
      <c r="O6" s="455">
        <f>SUM(C6,E6,G6,I6,K6,M6)</f>
        <v>0</v>
      </c>
      <c r="P6" s="456">
        <f>SUM(D6,F6,H6,J6,L6,N6)</f>
        <v>0</v>
      </c>
      <c r="Q6" s="873">
        <f>'t1'!N6</f>
        <v>0</v>
      </c>
    </row>
    <row r="7" spans="1:17" ht="14.1" customHeight="1">
      <c r="A7" s="152" t="str">
        <f>'t1'!A7</f>
        <v>SEGRETARIO B</v>
      </c>
      <c r="B7" s="224" t="str">
        <f>'t1'!B7</f>
        <v>0D0103</v>
      </c>
      <c r="C7" s="329"/>
      <c r="D7" s="330"/>
      <c r="E7" s="329"/>
      <c r="F7" s="330"/>
      <c r="G7" s="329"/>
      <c r="H7" s="331"/>
      <c r="I7" s="527"/>
      <c r="J7" s="331"/>
      <c r="K7" s="527"/>
      <c r="L7" s="331"/>
      <c r="M7" s="332"/>
      <c r="N7" s="333"/>
      <c r="O7" s="455">
        <f t="shared" ref="O7:O49" si="0">SUM(C7,E7,G7,I7,K7,M7)</f>
        <v>0</v>
      </c>
      <c r="P7" s="456">
        <f t="shared" ref="P7:P49" si="1">SUM(D7,F7,H7,J7,L7,N7)</f>
        <v>0</v>
      </c>
      <c r="Q7" s="873">
        <f>'t1'!N7</f>
        <v>0</v>
      </c>
    </row>
    <row r="8" spans="1:17" ht="14.1" customHeight="1">
      <c r="A8" s="152" t="str">
        <f>'t1'!A8</f>
        <v>SEGRETARIO C</v>
      </c>
      <c r="B8" s="224" t="str">
        <f>'t1'!B8</f>
        <v>0D0485</v>
      </c>
      <c r="C8" s="329"/>
      <c r="D8" s="330"/>
      <c r="E8" s="329"/>
      <c r="F8" s="330"/>
      <c r="G8" s="329"/>
      <c r="H8" s="331"/>
      <c r="I8" s="527"/>
      <c r="J8" s="331"/>
      <c r="K8" s="527"/>
      <c r="L8" s="331"/>
      <c r="M8" s="332"/>
      <c r="N8" s="333"/>
      <c r="O8" s="455">
        <f t="shared" si="0"/>
        <v>0</v>
      </c>
      <c r="P8" s="456">
        <f t="shared" si="1"/>
        <v>0</v>
      </c>
      <c r="Q8" s="873">
        <f>'t1'!N8</f>
        <v>0</v>
      </c>
    </row>
    <row r="9" spans="1:17" ht="14.1" customHeight="1">
      <c r="A9" s="152" t="str">
        <f>'t1'!A9</f>
        <v>SEGRETARIO GENERALE CCIAA</v>
      </c>
      <c r="B9" s="224" t="str">
        <f>'t1'!B9</f>
        <v>0D0104</v>
      </c>
      <c r="C9" s="329"/>
      <c r="D9" s="330"/>
      <c r="E9" s="329"/>
      <c r="F9" s="330"/>
      <c r="G9" s="329"/>
      <c r="H9" s="331"/>
      <c r="I9" s="527"/>
      <c r="J9" s="331"/>
      <c r="K9" s="527"/>
      <c r="L9" s="331"/>
      <c r="M9" s="332"/>
      <c r="N9" s="333"/>
      <c r="O9" s="455">
        <f t="shared" si="0"/>
        <v>0</v>
      </c>
      <c r="P9" s="456">
        <f t="shared" si="1"/>
        <v>0</v>
      </c>
      <c r="Q9" s="873">
        <f>'t1'!N9</f>
        <v>0</v>
      </c>
    </row>
    <row r="10" spans="1:17" ht="14.1" customHeight="1">
      <c r="A10" s="152" t="str">
        <f>'t1'!A10</f>
        <v>DIRETTORE  GENERALE</v>
      </c>
      <c r="B10" s="224" t="str">
        <f>'t1'!B10</f>
        <v>0D0097</v>
      </c>
      <c r="C10" s="329"/>
      <c r="D10" s="330"/>
      <c r="E10" s="329"/>
      <c r="F10" s="330"/>
      <c r="G10" s="329"/>
      <c r="H10" s="331"/>
      <c r="I10" s="527"/>
      <c r="J10" s="331"/>
      <c r="K10" s="527"/>
      <c r="L10" s="331"/>
      <c r="M10" s="332"/>
      <c r="N10" s="333"/>
      <c r="O10" s="455">
        <f t="shared" si="0"/>
        <v>0</v>
      </c>
      <c r="P10" s="456">
        <f t="shared" si="1"/>
        <v>0</v>
      </c>
      <c r="Q10" s="873">
        <f>'t1'!N10</f>
        <v>0</v>
      </c>
    </row>
    <row r="11" spans="1:17" ht="14.1" customHeight="1">
      <c r="A11" s="152" t="str">
        <f>'t1'!A11</f>
        <v>DIRIGENTE FUORI D.O. art.110 c.2 TUEL</v>
      </c>
      <c r="B11" s="224" t="str">
        <f>'t1'!B11</f>
        <v>0D0098</v>
      </c>
      <c r="C11" s="329"/>
      <c r="D11" s="330"/>
      <c r="E11" s="329"/>
      <c r="F11" s="330"/>
      <c r="G11" s="329"/>
      <c r="H11" s="331"/>
      <c r="I11" s="527"/>
      <c r="J11" s="331"/>
      <c r="K11" s="527"/>
      <c r="L11" s="331"/>
      <c r="M11" s="332"/>
      <c r="N11" s="333"/>
      <c r="O11" s="455">
        <f t="shared" si="0"/>
        <v>0</v>
      </c>
      <c r="P11" s="456">
        <f t="shared" si="1"/>
        <v>0</v>
      </c>
      <c r="Q11" s="873">
        <f>'t1'!N11</f>
        <v>0</v>
      </c>
    </row>
    <row r="12" spans="1:17" ht="14.1" customHeight="1">
      <c r="A12" s="152" t="str">
        <f>'t1'!A12</f>
        <v>ALTE SPECIALIZZ. FUORI D.O.art.110 c.2 TUEL</v>
      </c>
      <c r="B12" s="224" t="str">
        <f>'t1'!B12</f>
        <v>0D0095</v>
      </c>
      <c r="C12" s="329"/>
      <c r="D12" s="330"/>
      <c r="E12" s="329"/>
      <c r="F12" s="330"/>
      <c r="G12" s="329"/>
      <c r="H12" s="331"/>
      <c r="I12" s="527"/>
      <c r="J12" s="331"/>
      <c r="K12" s="527"/>
      <c r="L12" s="331"/>
      <c r="M12" s="332"/>
      <c r="N12" s="333"/>
      <c r="O12" s="455">
        <f t="shared" si="0"/>
        <v>0</v>
      </c>
      <c r="P12" s="456">
        <f t="shared" si="1"/>
        <v>0</v>
      </c>
      <c r="Q12" s="873">
        <f>'t1'!N12</f>
        <v>0</v>
      </c>
    </row>
    <row r="13" spans="1:17" ht="14.1" customHeight="1">
      <c r="A13" s="152" t="str">
        <f>'t1'!A13</f>
        <v>DIRIGENTE A TEMPO INDETERMINATO</v>
      </c>
      <c r="B13" s="224" t="str">
        <f>'t1'!B13</f>
        <v>0D0164</v>
      </c>
      <c r="C13" s="329"/>
      <c r="D13" s="330"/>
      <c r="E13" s="329"/>
      <c r="F13" s="330"/>
      <c r="G13" s="329"/>
      <c r="H13" s="331"/>
      <c r="I13" s="527"/>
      <c r="J13" s="331"/>
      <c r="K13" s="527"/>
      <c r="L13" s="331"/>
      <c r="M13" s="332"/>
      <c r="N13" s="333"/>
      <c r="O13" s="455">
        <f t="shared" si="0"/>
        <v>0</v>
      </c>
      <c r="P13" s="456">
        <f t="shared" si="1"/>
        <v>0</v>
      </c>
      <c r="Q13" s="873">
        <f>'t1'!N13</f>
        <v>0</v>
      </c>
    </row>
    <row r="14" spans="1:17" ht="14.1" customHeight="1">
      <c r="A14" s="152" t="str">
        <f>'t1'!A14</f>
        <v>DIRIGENTE A TEMPO DET.TO  ART.110 C.1 TUEL</v>
      </c>
      <c r="B14" s="224" t="str">
        <f>'t1'!B14</f>
        <v>0D0165</v>
      </c>
      <c r="C14" s="329"/>
      <c r="D14" s="330"/>
      <c r="E14" s="329"/>
      <c r="F14" s="330"/>
      <c r="G14" s="329"/>
      <c r="H14" s="331"/>
      <c r="I14" s="527"/>
      <c r="J14" s="331"/>
      <c r="K14" s="527"/>
      <c r="L14" s="331"/>
      <c r="M14" s="332"/>
      <c r="N14" s="333"/>
      <c r="O14" s="455">
        <f t="shared" si="0"/>
        <v>0</v>
      </c>
      <c r="P14" s="456">
        <f t="shared" si="1"/>
        <v>0</v>
      </c>
      <c r="Q14" s="873">
        <f>'t1'!N14</f>
        <v>0</v>
      </c>
    </row>
    <row r="15" spans="1:17" ht="14.1" customHeight="1">
      <c r="A15" s="152" t="str">
        <f>'t1'!A15</f>
        <v>ALTE SPECIALIZZ. IN D.O. art.110 c.1 TUEL</v>
      </c>
      <c r="B15" s="224" t="str">
        <f>'t1'!B15</f>
        <v>0D0I95</v>
      </c>
      <c r="C15" s="329"/>
      <c r="D15" s="330"/>
      <c r="E15" s="329"/>
      <c r="F15" s="330"/>
      <c r="G15" s="329"/>
      <c r="H15" s="331"/>
      <c r="I15" s="527"/>
      <c r="J15" s="331"/>
      <c r="K15" s="527"/>
      <c r="L15" s="331"/>
      <c r="M15" s="332"/>
      <c r="N15" s="333"/>
      <c r="O15" s="455">
        <f t="shared" si="0"/>
        <v>0</v>
      </c>
      <c r="P15" s="456">
        <f t="shared" si="1"/>
        <v>0</v>
      </c>
      <c r="Q15" s="873">
        <f>'t1'!N15</f>
        <v>0</v>
      </c>
    </row>
    <row r="16" spans="1:17" ht="14.1" customHeight="1">
      <c r="A16" s="152" t="str">
        <f>'t1'!A16</f>
        <v>POSIZ. ECON. D6 - PROFILI ACCESSO D3</v>
      </c>
      <c r="B16" s="224" t="str">
        <f>'t1'!B16</f>
        <v>0D6A00</v>
      </c>
      <c r="C16" s="329"/>
      <c r="D16" s="330"/>
      <c r="E16" s="329"/>
      <c r="F16" s="330"/>
      <c r="G16" s="329"/>
      <c r="H16" s="331"/>
      <c r="I16" s="527"/>
      <c r="J16" s="331"/>
      <c r="K16" s="527"/>
      <c r="L16" s="331"/>
      <c r="M16" s="332"/>
      <c r="N16" s="333"/>
      <c r="O16" s="455">
        <f t="shared" si="0"/>
        <v>0</v>
      </c>
      <c r="P16" s="456">
        <f t="shared" si="1"/>
        <v>0</v>
      </c>
      <c r="Q16" s="873">
        <f>'t1'!N16</f>
        <v>0</v>
      </c>
    </row>
    <row r="17" spans="1:17" ht="14.1" customHeight="1">
      <c r="A17" s="152" t="str">
        <f>'t1'!A17</f>
        <v>POSIZ. ECON. D6 - PROFILO ACCESSO D1</v>
      </c>
      <c r="B17" s="224" t="str">
        <f>'t1'!B17</f>
        <v>0D6000</v>
      </c>
      <c r="C17" s="329"/>
      <c r="D17" s="330"/>
      <c r="E17" s="329"/>
      <c r="F17" s="330"/>
      <c r="G17" s="329"/>
      <c r="H17" s="331"/>
      <c r="I17" s="527"/>
      <c r="J17" s="331"/>
      <c r="K17" s="527"/>
      <c r="L17" s="331"/>
      <c r="M17" s="332"/>
      <c r="N17" s="333"/>
      <c r="O17" s="455">
        <f t="shared" si="0"/>
        <v>0</v>
      </c>
      <c r="P17" s="456">
        <f t="shared" si="1"/>
        <v>0</v>
      </c>
      <c r="Q17" s="873">
        <f>'t1'!N17</f>
        <v>0</v>
      </c>
    </row>
    <row r="18" spans="1:17" ht="14.1" customHeight="1">
      <c r="A18" s="152" t="str">
        <f>'t1'!A18</f>
        <v>POSIZ. ECON. D5 PROFILI ACCESSO D3</v>
      </c>
      <c r="B18" s="224" t="str">
        <f>'t1'!B18</f>
        <v>052486</v>
      </c>
      <c r="C18" s="329"/>
      <c r="D18" s="330"/>
      <c r="E18" s="329"/>
      <c r="F18" s="330"/>
      <c r="G18" s="329"/>
      <c r="H18" s="331"/>
      <c r="I18" s="527"/>
      <c r="J18" s="331"/>
      <c r="K18" s="527"/>
      <c r="L18" s="331"/>
      <c r="M18" s="332"/>
      <c r="N18" s="333"/>
      <c r="O18" s="455">
        <f t="shared" si="0"/>
        <v>0</v>
      </c>
      <c r="P18" s="456">
        <f t="shared" si="1"/>
        <v>0</v>
      </c>
      <c r="Q18" s="873">
        <f>'t1'!N18</f>
        <v>0</v>
      </c>
    </row>
    <row r="19" spans="1:17" ht="14.1" customHeight="1">
      <c r="A19" s="152" t="str">
        <f>'t1'!A19</f>
        <v>POSIZ. ECON. D5 PROFILI ACCESSO D1</v>
      </c>
      <c r="B19" s="224" t="str">
        <f>'t1'!B19</f>
        <v>052487</v>
      </c>
      <c r="C19" s="329"/>
      <c r="D19" s="330"/>
      <c r="E19" s="329"/>
      <c r="F19" s="330"/>
      <c r="G19" s="329"/>
      <c r="H19" s="331"/>
      <c r="I19" s="527"/>
      <c r="J19" s="331"/>
      <c r="K19" s="527"/>
      <c r="L19" s="331"/>
      <c r="M19" s="332"/>
      <c r="N19" s="333"/>
      <c r="O19" s="455">
        <f t="shared" si="0"/>
        <v>0</v>
      </c>
      <c r="P19" s="456">
        <f t="shared" si="1"/>
        <v>0</v>
      </c>
      <c r="Q19" s="873">
        <f>'t1'!N19</f>
        <v>0</v>
      </c>
    </row>
    <row r="20" spans="1:17" ht="14.1" customHeight="1">
      <c r="A20" s="152" t="str">
        <f>'t1'!A20</f>
        <v>POSIZ. ECON. D4 PROFILI ACCESSO D3</v>
      </c>
      <c r="B20" s="224" t="str">
        <f>'t1'!B20</f>
        <v>051488</v>
      </c>
      <c r="C20" s="329"/>
      <c r="D20" s="330"/>
      <c r="E20" s="329"/>
      <c r="F20" s="330"/>
      <c r="G20" s="329"/>
      <c r="H20" s="331"/>
      <c r="I20" s="527"/>
      <c r="J20" s="331"/>
      <c r="K20" s="527"/>
      <c r="L20" s="331"/>
      <c r="M20" s="332"/>
      <c r="N20" s="333"/>
      <c r="O20" s="455">
        <f t="shared" si="0"/>
        <v>0</v>
      </c>
      <c r="P20" s="456">
        <f t="shared" si="1"/>
        <v>0</v>
      </c>
      <c r="Q20" s="873">
        <f>'t1'!N20</f>
        <v>0</v>
      </c>
    </row>
    <row r="21" spans="1:17" ht="14.1" customHeight="1">
      <c r="A21" s="152" t="str">
        <f>'t1'!A21</f>
        <v>POSIZ. ECON. D4 PROFILI ACCESSO D1</v>
      </c>
      <c r="B21" s="224" t="str">
        <f>'t1'!B21</f>
        <v>051489</v>
      </c>
      <c r="C21" s="329"/>
      <c r="D21" s="330"/>
      <c r="E21" s="329"/>
      <c r="F21" s="330"/>
      <c r="G21" s="329"/>
      <c r="H21" s="331"/>
      <c r="I21" s="527"/>
      <c r="J21" s="331"/>
      <c r="K21" s="527"/>
      <c r="L21" s="331"/>
      <c r="M21" s="332"/>
      <c r="N21" s="333"/>
      <c r="O21" s="455">
        <f t="shared" si="0"/>
        <v>0</v>
      </c>
      <c r="P21" s="456">
        <f t="shared" si="1"/>
        <v>0</v>
      </c>
      <c r="Q21" s="873">
        <f>'t1'!N21</f>
        <v>0</v>
      </c>
    </row>
    <row r="22" spans="1:17" ht="14.1" customHeight="1">
      <c r="A22" s="152" t="str">
        <f>'t1'!A22</f>
        <v>POSIZIONE ECONOMICA DI ACCESSO D3</v>
      </c>
      <c r="B22" s="224" t="str">
        <f>'t1'!B22</f>
        <v>058000</v>
      </c>
      <c r="C22" s="329"/>
      <c r="D22" s="330"/>
      <c r="E22" s="329"/>
      <c r="F22" s="330"/>
      <c r="G22" s="329"/>
      <c r="H22" s="331"/>
      <c r="I22" s="527"/>
      <c r="J22" s="331"/>
      <c r="K22" s="527"/>
      <c r="L22" s="331"/>
      <c r="M22" s="332"/>
      <c r="N22" s="333"/>
      <c r="O22" s="455">
        <f t="shared" si="0"/>
        <v>0</v>
      </c>
      <c r="P22" s="456">
        <f t="shared" si="1"/>
        <v>0</v>
      </c>
      <c r="Q22" s="873">
        <f>'t1'!N22</f>
        <v>0</v>
      </c>
    </row>
    <row r="23" spans="1:17" ht="14.1" customHeight="1">
      <c r="A23" s="152" t="str">
        <f>'t1'!A23</f>
        <v>POSIZIONE ECONOMICA D3</v>
      </c>
      <c r="B23" s="224" t="str">
        <f>'t1'!B23</f>
        <v>050000</v>
      </c>
      <c r="C23" s="329"/>
      <c r="D23" s="330"/>
      <c r="E23" s="329"/>
      <c r="F23" s="330"/>
      <c r="G23" s="329"/>
      <c r="H23" s="331"/>
      <c r="I23" s="527"/>
      <c r="J23" s="331"/>
      <c r="K23" s="527"/>
      <c r="L23" s="331"/>
      <c r="M23" s="332"/>
      <c r="N23" s="333"/>
      <c r="O23" s="455">
        <f t="shared" si="0"/>
        <v>0</v>
      </c>
      <c r="P23" s="456">
        <f t="shared" si="1"/>
        <v>0</v>
      </c>
      <c r="Q23" s="873">
        <f>'t1'!N23</f>
        <v>0</v>
      </c>
    </row>
    <row r="24" spans="1:17" ht="14.1" customHeight="1">
      <c r="A24" s="152" t="str">
        <f>'t1'!A24</f>
        <v>POSIZIONE ECONOMICA D2</v>
      </c>
      <c r="B24" s="224" t="str">
        <f>'t1'!B24</f>
        <v>049000</v>
      </c>
      <c r="C24" s="329"/>
      <c r="D24" s="330"/>
      <c r="E24" s="329"/>
      <c r="F24" s="330"/>
      <c r="G24" s="329"/>
      <c r="H24" s="331"/>
      <c r="I24" s="527"/>
      <c r="J24" s="331"/>
      <c r="K24" s="527"/>
      <c r="L24" s="331"/>
      <c r="M24" s="332"/>
      <c r="N24" s="333"/>
      <c r="O24" s="455">
        <f t="shared" si="0"/>
        <v>0</v>
      </c>
      <c r="P24" s="456">
        <f t="shared" si="1"/>
        <v>0</v>
      </c>
      <c r="Q24" s="873">
        <f>'t1'!N24</f>
        <v>0</v>
      </c>
    </row>
    <row r="25" spans="1:17" ht="14.1" customHeight="1">
      <c r="A25" s="152" t="str">
        <f>'t1'!A25</f>
        <v>POSIZIONE ECONOMICA DI ACCESSO D1</v>
      </c>
      <c r="B25" s="224" t="str">
        <f>'t1'!B25</f>
        <v>057000</v>
      </c>
      <c r="C25" s="329"/>
      <c r="D25" s="330"/>
      <c r="E25" s="329"/>
      <c r="F25" s="330"/>
      <c r="G25" s="329"/>
      <c r="H25" s="331"/>
      <c r="I25" s="527">
        <v>1</v>
      </c>
      <c r="J25" s="331"/>
      <c r="K25" s="527"/>
      <c r="L25" s="331"/>
      <c r="M25" s="332"/>
      <c r="N25" s="333"/>
      <c r="O25" s="455">
        <f t="shared" si="0"/>
        <v>1</v>
      </c>
      <c r="P25" s="456">
        <f t="shared" si="1"/>
        <v>0</v>
      </c>
      <c r="Q25" s="873">
        <f>'t1'!N25</f>
        <v>1</v>
      </c>
    </row>
    <row r="26" spans="1:17" ht="14.1" customHeight="1">
      <c r="A26" s="152" t="str">
        <f>'t1'!A26</f>
        <v>POSIZIONE ECONOMICA C5</v>
      </c>
      <c r="B26" s="224" t="str">
        <f>'t1'!B26</f>
        <v>046000</v>
      </c>
      <c r="C26" s="329"/>
      <c r="D26" s="330"/>
      <c r="E26" s="329"/>
      <c r="F26" s="330"/>
      <c r="G26" s="329"/>
      <c r="H26" s="331"/>
      <c r="I26" s="527"/>
      <c r="J26" s="331"/>
      <c r="K26" s="527"/>
      <c r="L26" s="331"/>
      <c r="M26" s="332"/>
      <c r="N26" s="333"/>
      <c r="O26" s="455">
        <f t="shared" si="0"/>
        <v>0</v>
      </c>
      <c r="P26" s="456">
        <f t="shared" si="1"/>
        <v>0</v>
      </c>
      <c r="Q26" s="873">
        <f>'t1'!N26</f>
        <v>0</v>
      </c>
    </row>
    <row r="27" spans="1:17" ht="14.1" customHeight="1">
      <c r="A27" s="152" t="str">
        <f>'t1'!A27</f>
        <v>POSIZIONE ECONOMICA C4</v>
      </c>
      <c r="B27" s="224" t="str">
        <f>'t1'!B27</f>
        <v>045000</v>
      </c>
      <c r="C27" s="329"/>
      <c r="D27" s="330"/>
      <c r="E27" s="329"/>
      <c r="F27" s="330"/>
      <c r="G27" s="329"/>
      <c r="H27" s="331"/>
      <c r="I27" s="527"/>
      <c r="J27" s="331"/>
      <c r="K27" s="527"/>
      <c r="L27" s="331"/>
      <c r="M27" s="332"/>
      <c r="N27" s="333"/>
      <c r="O27" s="455">
        <f t="shared" si="0"/>
        <v>0</v>
      </c>
      <c r="P27" s="456">
        <f t="shared" si="1"/>
        <v>0</v>
      </c>
      <c r="Q27" s="873">
        <f>'t1'!N27</f>
        <v>0</v>
      </c>
    </row>
    <row r="28" spans="1:17" ht="14.1" customHeight="1">
      <c r="A28" s="152" t="str">
        <f>'t1'!A28</f>
        <v>POSIZIONE ECONOMICA C3</v>
      </c>
      <c r="B28" s="224" t="str">
        <f>'t1'!B28</f>
        <v>043000</v>
      </c>
      <c r="C28" s="329"/>
      <c r="D28" s="330"/>
      <c r="E28" s="329"/>
      <c r="F28" s="330"/>
      <c r="G28" s="329"/>
      <c r="H28" s="331"/>
      <c r="I28" s="527"/>
      <c r="J28" s="331"/>
      <c r="K28" s="527"/>
      <c r="L28" s="331"/>
      <c r="M28" s="332"/>
      <c r="N28" s="333"/>
      <c r="O28" s="455">
        <f t="shared" si="0"/>
        <v>0</v>
      </c>
      <c r="P28" s="456">
        <f t="shared" si="1"/>
        <v>0</v>
      </c>
      <c r="Q28" s="873">
        <f>'t1'!N28</f>
        <v>0</v>
      </c>
    </row>
    <row r="29" spans="1:17" ht="14.1" customHeight="1">
      <c r="A29" s="152" t="str">
        <f>'t1'!A29</f>
        <v>POSIZIONE ECONOMICA C2</v>
      </c>
      <c r="B29" s="224" t="str">
        <f>'t1'!B29</f>
        <v>042000</v>
      </c>
      <c r="C29" s="329"/>
      <c r="D29" s="330"/>
      <c r="E29" s="329"/>
      <c r="F29" s="330">
        <v>1</v>
      </c>
      <c r="G29" s="329"/>
      <c r="H29" s="331"/>
      <c r="I29" s="527"/>
      <c r="J29" s="331"/>
      <c r="K29" s="527"/>
      <c r="L29" s="331"/>
      <c r="M29" s="332"/>
      <c r="N29" s="333"/>
      <c r="O29" s="455">
        <f t="shared" si="0"/>
        <v>0</v>
      </c>
      <c r="P29" s="456">
        <f t="shared" si="1"/>
        <v>1</v>
      </c>
      <c r="Q29" s="873">
        <f>'t1'!N29</f>
        <v>1</v>
      </c>
    </row>
    <row r="30" spans="1:17" ht="14.1" customHeight="1">
      <c r="A30" s="152" t="str">
        <f>'t1'!A30</f>
        <v>POSIZIONE ECONOMICA DI ACCESSO C1</v>
      </c>
      <c r="B30" s="224" t="str">
        <f>'t1'!B30</f>
        <v>056000</v>
      </c>
      <c r="C30" s="329"/>
      <c r="D30" s="330"/>
      <c r="E30" s="329"/>
      <c r="F30" s="330"/>
      <c r="G30" s="329"/>
      <c r="H30" s="331"/>
      <c r="I30" s="527"/>
      <c r="J30" s="331">
        <v>2</v>
      </c>
      <c r="K30" s="527"/>
      <c r="L30" s="331"/>
      <c r="M30" s="332"/>
      <c r="N30" s="333"/>
      <c r="O30" s="455">
        <f t="shared" si="0"/>
        <v>0</v>
      </c>
      <c r="P30" s="456">
        <f t="shared" si="1"/>
        <v>2</v>
      </c>
      <c r="Q30" s="873">
        <f>'t1'!N30</f>
        <v>1</v>
      </c>
    </row>
    <row r="31" spans="1:17" ht="14.1" customHeight="1">
      <c r="A31" s="152" t="str">
        <f>'t1'!A31</f>
        <v>POSIZ. ECON. B7 - PROFILO ACCESSO B3</v>
      </c>
      <c r="B31" s="224" t="str">
        <f>'t1'!B31</f>
        <v>0B7A00</v>
      </c>
      <c r="C31" s="329"/>
      <c r="D31" s="330"/>
      <c r="E31" s="329"/>
      <c r="F31" s="330"/>
      <c r="G31" s="329"/>
      <c r="H31" s="331"/>
      <c r="I31" s="527"/>
      <c r="J31" s="331"/>
      <c r="K31" s="527"/>
      <c r="L31" s="331"/>
      <c r="M31" s="332"/>
      <c r="N31" s="333"/>
      <c r="O31" s="455">
        <f t="shared" si="0"/>
        <v>0</v>
      </c>
      <c r="P31" s="456">
        <f t="shared" si="1"/>
        <v>0</v>
      </c>
      <c r="Q31" s="873">
        <f>'t1'!N31</f>
        <v>0</v>
      </c>
    </row>
    <row r="32" spans="1:17" ht="14.1" customHeight="1">
      <c r="A32" s="152" t="str">
        <f>'t1'!A32</f>
        <v>POSIZ. ECON. B7 - PROFILO  ACCESSO B1</v>
      </c>
      <c r="B32" s="224" t="str">
        <f>'t1'!B32</f>
        <v>0B7000</v>
      </c>
      <c r="C32" s="329"/>
      <c r="D32" s="330"/>
      <c r="E32" s="329"/>
      <c r="F32" s="330"/>
      <c r="G32" s="329"/>
      <c r="H32" s="331"/>
      <c r="I32" s="527"/>
      <c r="J32" s="331"/>
      <c r="K32" s="527"/>
      <c r="L32" s="331"/>
      <c r="M32" s="332"/>
      <c r="N32" s="333"/>
      <c r="O32" s="455">
        <f t="shared" si="0"/>
        <v>0</v>
      </c>
      <c r="P32" s="456">
        <f t="shared" si="1"/>
        <v>0</v>
      </c>
      <c r="Q32" s="873">
        <f>'t1'!N32</f>
        <v>0</v>
      </c>
    </row>
    <row r="33" spans="1:17" ht="14.1" customHeight="1">
      <c r="A33" s="152" t="str">
        <f>'t1'!A33</f>
        <v>POSIZ. ECON. B6 PROFILI ACCESSO B3</v>
      </c>
      <c r="B33" s="224" t="str">
        <f>'t1'!B33</f>
        <v>038490</v>
      </c>
      <c r="C33" s="329"/>
      <c r="D33" s="330"/>
      <c r="E33" s="329"/>
      <c r="F33" s="330"/>
      <c r="G33" s="329"/>
      <c r="H33" s="331"/>
      <c r="I33" s="527"/>
      <c r="J33" s="331"/>
      <c r="K33" s="527"/>
      <c r="L33" s="331"/>
      <c r="M33" s="332"/>
      <c r="N33" s="333"/>
      <c r="O33" s="455">
        <f t="shared" si="0"/>
        <v>0</v>
      </c>
      <c r="P33" s="456">
        <f t="shared" si="1"/>
        <v>0</v>
      </c>
      <c r="Q33" s="873">
        <f>'t1'!N33</f>
        <v>0</v>
      </c>
    </row>
    <row r="34" spans="1:17" ht="14.1" customHeight="1">
      <c r="A34" s="152" t="str">
        <f>'t1'!A34</f>
        <v>POSIZ. ECON. B6 PROFILI ACCESSO B1</v>
      </c>
      <c r="B34" s="224" t="str">
        <f>'t1'!B34</f>
        <v>038491</v>
      </c>
      <c r="C34" s="329"/>
      <c r="D34" s="330"/>
      <c r="E34" s="329"/>
      <c r="F34" s="330"/>
      <c r="G34" s="329"/>
      <c r="H34" s="331"/>
      <c r="I34" s="527"/>
      <c r="J34" s="331"/>
      <c r="K34" s="527"/>
      <c r="L34" s="331"/>
      <c r="M34" s="332"/>
      <c r="N34" s="333"/>
      <c r="O34" s="455">
        <f t="shared" si="0"/>
        <v>0</v>
      </c>
      <c r="P34" s="456">
        <f t="shared" si="1"/>
        <v>0</v>
      </c>
      <c r="Q34" s="873">
        <f>'t1'!N34</f>
        <v>0</v>
      </c>
    </row>
    <row r="35" spans="1:17" ht="14.1" customHeight="1">
      <c r="A35" s="152" t="str">
        <f>'t1'!A35</f>
        <v>POSIZ. ECON. B5 PROFILI ACCESSO B3</v>
      </c>
      <c r="B35" s="224" t="str">
        <f>'t1'!B35</f>
        <v>037492</v>
      </c>
      <c r="C35" s="329"/>
      <c r="D35" s="330"/>
      <c r="E35" s="329"/>
      <c r="F35" s="330"/>
      <c r="G35" s="329"/>
      <c r="H35" s="331"/>
      <c r="I35" s="527"/>
      <c r="J35" s="331"/>
      <c r="K35" s="527"/>
      <c r="L35" s="331"/>
      <c r="M35" s="332"/>
      <c r="N35" s="333"/>
      <c r="O35" s="455">
        <f t="shared" si="0"/>
        <v>0</v>
      </c>
      <c r="P35" s="456">
        <f t="shared" si="1"/>
        <v>0</v>
      </c>
      <c r="Q35" s="873">
        <f>'t1'!N35</f>
        <v>0</v>
      </c>
    </row>
    <row r="36" spans="1:17" ht="14.1" customHeight="1">
      <c r="A36" s="152" t="str">
        <f>'t1'!A36</f>
        <v>POSIZ. ECON. B5 PROFILI ACCESSO B1</v>
      </c>
      <c r="B36" s="224" t="str">
        <f>'t1'!B36</f>
        <v>037493</v>
      </c>
      <c r="C36" s="329"/>
      <c r="D36" s="330"/>
      <c r="E36" s="329"/>
      <c r="F36" s="330"/>
      <c r="G36" s="329"/>
      <c r="H36" s="331"/>
      <c r="I36" s="527"/>
      <c r="J36" s="331"/>
      <c r="K36" s="527"/>
      <c r="L36" s="331"/>
      <c r="M36" s="332"/>
      <c r="N36" s="333"/>
      <c r="O36" s="455">
        <f t="shared" si="0"/>
        <v>0</v>
      </c>
      <c r="P36" s="456">
        <f t="shared" si="1"/>
        <v>0</v>
      </c>
      <c r="Q36" s="873">
        <f>'t1'!N36</f>
        <v>0</v>
      </c>
    </row>
    <row r="37" spans="1:17" ht="14.1" customHeight="1">
      <c r="A37" s="152" t="str">
        <f>'t1'!A37</f>
        <v>POSIZ. ECON. B4 PROFILI ACCESSO B3</v>
      </c>
      <c r="B37" s="224" t="str">
        <f>'t1'!B37</f>
        <v>036494</v>
      </c>
      <c r="C37" s="329"/>
      <c r="D37" s="330"/>
      <c r="E37" s="329"/>
      <c r="F37" s="330"/>
      <c r="G37" s="329"/>
      <c r="H37" s="331"/>
      <c r="I37" s="527"/>
      <c r="J37" s="331"/>
      <c r="K37" s="527"/>
      <c r="L37" s="331"/>
      <c r="M37" s="332"/>
      <c r="N37" s="333"/>
      <c r="O37" s="455">
        <f t="shared" si="0"/>
        <v>0</v>
      </c>
      <c r="P37" s="456">
        <f t="shared" si="1"/>
        <v>0</v>
      </c>
      <c r="Q37" s="873">
        <f>'t1'!N37</f>
        <v>0</v>
      </c>
    </row>
    <row r="38" spans="1:17" ht="14.1" customHeight="1">
      <c r="A38" s="152" t="str">
        <f>'t1'!A38</f>
        <v>POSIZ. ECON. B4 PROFILI ACCESSO B1</v>
      </c>
      <c r="B38" s="224" t="str">
        <f>'t1'!B38</f>
        <v>036495</v>
      </c>
      <c r="C38" s="329"/>
      <c r="D38" s="330"/>
      <c r="E38" s="329"/>
      <c r="F38" s="330"/>
      <c r="G38" s="329"/>
      <c r="H38" s="331"/>
      <c r="I38" s="527"/>
      <c r="J38" s="331"/>
      <c r="K38" s="527"/>
      <c r="L38" s="331"/>
      <c r="M38" s="332"/>
      <c r="N38" s="333"/>
      <c r="O38" s="455">
        <f t="shared" si="0"/>
        <v>0</v>
      </c>
      <c r="P38" s="456">
        <f t="shared" si="1"/>
        <v>0</v>
      </c>
      <c r="Q38" s="873">
        <f>'t1'!N38</f>
        <v>0</v>
      </c>
    </row>
    <row r="39" spans="1:17" ht="14.1" customHeight="1">
      <c r="A39" s="152" t="str">
        <f>'t1'!A39</f>
        <v>POSIZIONE ECONOMICA DI ACCESSO B3</v>
      </c>
      <c r="B39" s="224" t="str">
        <f>'t1'!B39</f>
        <v>055000</v>
      </c>
      <c r="C39" s="329"/>
      <c r="D39" s="330"/>
      <c r="E39" s="329"/>
      <c r="F39" s="330"/>
      <c r="G39" s="329"/>
      <c r="H39" s="331"/>
      <c r="I39" s="527"/>
      <c r="J39" s="331"/>
      <c r="K39" s="527"/>
      <c r="L39" s="331"/>
      <c r="M39" s="332"/>
      <c r="N39" s="333"/>
      <c r="O39" s="455">
        <f t="shared" si="0"/>
        <v>0</v>
      </c>
      <c r="P39" s="456">
        <f t="shared" si="1"/>
        <v>0</v>
      </c>
      <c r="Q39" s="873">
        <f>'t1'!N39</f>
        <v>0</v>
      </c>
    </row>
    <row r="40" spans="1:17" ht="14.1" customHeight="1">
      <c r="A40" s="152" t="str">
        <f>'t1'!A40</f>
        <v>POSIZIONE ECONOMICA B3</v>
      </c>
      <c r="B40" s="224" t="str">
        <f>'t1'!B40</f>
        <v>034000</v>
      </c>
      <c r="C40" s="329"/>
      <c r="D40" s="330"/>
      <c r="E40" s="329"/>
      <c r="F40" s="330"/>
      <c r="G40" s="329"/>
      <c r="H40" s="331"/>
      <c r="I40" s="527"/>
      <c r="J40" s="331"/>
      <c r="K40" s="527"/>
      <c r="L40" s="331"/>
      <c r="M40" s="332"/>
      <c r="N40" s="333"/>
      <c r="O40" s="455">
        <f t="shared" si="0"/>
        <v>0</v>
      </c>
      <c r="P40" s="456">
        <f t="shared" si="1"/>
        <v>0</v>
      </c>
      <c r="Q40" s="873">
        <f>'t1'!N40</f>
        <v>0</v>
      </c>
    </row>
    <row r="41" spans="1:17" ht="14.1" customHeight="1">
      <c r="A41" s="152" t="str">
        <f>'t1'!A41</f>
        <v>POSIZIONE ECONOMICA B2</v>
      </c>
      <c r="B41" s="224" t="str">
        <f>'t1'!B41</f>
        <v>032000</v>
      </c>
      <c r="C41" s="329"/>
      <c r="D41" s="330"/>
      <c r="E41" s="329"/>
      <c r="F41" s="330"/>
      <c r="G41" s="329"/>
      <c r="H41" s="331"/>
      <c r="I41" s="527"/>
      <c r="J41" s="331"/>
      <c r="K41" s="527"/>
      <c r="L41" s="331"/>
      <c r="M41" s="332"/>
      <c r="N41" s="333"/>
      <c r="O41" s="455">
        <f t="shared" si="0"/>
        <v>0</v>
      </c>
      <c r="P41" s="456">
        <f t="shared" si="1"/>
        <v>0</v>
      </c>
      <c r="Q41" s="873">
        <f>'t1'!N41</f>
        <v>0</v>
      </c>
    </row>
    <row r="42" spans="1:17" ht="14.1" customHeight="1">
      <c r="A42" s="152" t="str">
        <f>'t1'!A42</f>
        <v>POSIZIONE ECONOMICA DI ACCESSO B1</v>
      </c>
      <c r="B42" s="224" t="str">
        <f>'t1'!B42</f>
        <v>054000</v>
      </c>
      <c r="C42" s="329"/>
      <c r="D42" s="330"/>
      <c r="E42" s="329"/>
      <c r="F42" s="330"/>
      <c r="G42" s="329"/>
      <c r="H42" s="331"/>
      <c r="I42" s="527"/>
      <c r="J42" s="331"/>
      <c r="K42" s="527"/>
      <c r="L42" s="331"/>
      <c r="M42" s="332"/>
      <c r="N42" s="333"/>
      <c r="O42" s="455">
        <f t="shared" si="0"/>
        <v>0</v>
      </c>
      <c r="P42" s="456">
        <f t="shared" si="1"/>
        <v>0</v>
      </c>
      <c r="Q42" s="873">
        <f>'t1'!N42</f>
        <v>0</v>
      </c>
    </row>
    <row r="43" spans="1:17" ht="14.1" customHeight="1">
      <c r="A43" s="152" t="str">
        <f>'t1'!A43</f>
        <v>POSIZIONE ECONOMICA A5</v>
      </c>
      <c r="B43" s="224" t="str">
        <f>'t1'!B43</f>
        <v>0A5000</v>
      </c>
      <c r="C43" s="329"/>
      <c r="D43" s="330"/>
      <c r="E43" s="329"/>
      <c r="F43" s="330"/>
      <c r="G43" s="329"/>
      <c r="H43" s="331"/>
      <c r="I43" s="527"/>
      <c r="J43" s="331"/>
      <c r="K43" s="527"/>
      <c r="L43" s="331"/>
      <c r="M43" s="332"/>
      <c r="N43" s="333"/>
      <c r="O43" s="455">
        <f t="shared" si="0"/>
        <v>0</v>
      </c>
      <c r="P43" s="456">
        <f t="shared" si="1"/>
        <v>0</v>
      </c>
      <c r="Q43" s="873">
        <f>'t1'!N43</f>
        <v>0</v>
      </c>
    </row>
    <row r="44" spans="1:17" ht="14.1" customHeight="1">
      <c r="A44" s="152" t="str">
        <f>'t1'!A44</f>
        <v>POSIZIONE ECONOMICA A4</v>
      </c>
      <c r="B44" s="224" t="str">
        <f>'t1'!B44</f>
        <v>028000</v>
      </c>
      <c r="C44" s="329"/>
      <c r="D44" s="330"/>
      <c r="E44" s="329"/>
      <c r="F44" s="330"/>
      <c r="G44" s="329"/>
      <c r="H44" s="331"/>
      <c r="I44" s="527"/>
      <c r="J44" s="331"/>
      <c r="K44" s="527"/>
      <c r="L44" s="331"/>
      <c r="M44" s="332"/>
      <c r="N44" s="333"/>
      <c r="O44" s="455">
        <f t="shared" si="0"/>
        <v>0</v>
      </c>
      <c r="P44" s="456">
        <f t="shared" si="1"/>
        <v>0</v>
      </c>
      <c r="Q44" s="873">
        <f>'t1'!N44</f>
        <v>0</v>
      </c>
    </row>
    <row r="45" spans="1:17" ht="14.1" customHeight="1">
      <c r="A45" s="152" t="str">
        <f>'t1'!A45</f>
        <v>POSIZIONE ECONOMICA A3</v>
      </c>
      <c r="B45" s="224" t="str">
        <f>'t1'!B45</f>
        <v>027000</v>
      </c>
      <c r="C45" s="329"/>
      <c r="D45" s="330"/>
      <c r="E45" s="329"/>
      <c r="F45" s="330"/>
      <c r="G45" s="329"/>
      <c r="H45" s="331"/>
      <c r="I45" s="527"/>
      <c r="J45" s="331"/>
      <c r="K45" s="527"/>
      <c r="L45" s="331"/>
      <c r="M45" s="332"/>
      <c r="N45" s="333"/>
      <c r="O45" s="455">
        <f t="shared" si="0"/>
        <v>0</v>
      </c>
      <c r="P45" s="456">
        <f t="shared" si="1"/>
        <v>0</v>
      </c>
      <c r="Q45" s="873">
        <f>'t1'!N45</f>
        <v>0</v>
      </c>
    </row>
    <row r="46" spans="1:17" ht="14.1" customHeight="1">
      <c r="A46" s="152" t="str">
        <f>'t1'!A46</f>
        <v>POSIZIONE ECONOMICA A2</v>
      </c>
      <c r="B46" s="224" t="str">
        <f>'t1'!B46</f>
        <v>025000</v>
      </c>
      <c r="C46" s="329"/>
      <c r="D46" s="330"/>
      <c r="E46" s="329"/>
      <c r="F46" s="330"/>
      <c r="G46" s="329"/>
      <c r="H46" s="331"/>
      <c r="I46" s="527"/>
      <c r="J46" s="331"/>
      <c r="K46" s="527"/>
      <c r="L46" s="331"/>
      <c r="M46" s="332"/>
      <c r="N46" s="333"/>
      <c r="O46" s="455">
        <f t="shared" si="0"/>
        <v>0</v>
      </c>
      <c r="P46" s="456">
        <f t="shared" si="1"/>
        <v>0</v>
      </c>
      <c r="Q46" s="873">
        <f>'t1'!N46</f>
        <v>0</v>
      </c>
    </row>
    <row r="47" spans="1:17" ht="14.1" customHeight="1">
      <c r="A47" s="152" t="str">
        <f>'t1'!A47</f>
        <v>POSIZIONE ECONOMICA DI ACCESSO A1</v>
      </c>
      <c r="B47" s="224" t="str">
        <f>'t1'!B47</f>
        <v>053000</v>
      </c>
      <c r="C47" s="329"/>
      <c r="D47" s="330"/>
      <c r="E47" s="329"/>
      <c r="F47" s="330"/>
      <c r="G47" s="329"/>
      <c r="H47" s="331"/>
      <c r="I47" s="527"/>
      <c r="J47" s="331"/>
      <c r="K47" s="527"/>
      <c r="L47" s="331"/>
      <c r="M47" s="332"/>
      <c r="N47" s="333"/>
      <c r="O47" s="455">
        <f t="shared" si="0"/>
        <v>0</v>
      </c>
      <c r="P47" s="456">
        <f t="shared" si="1"/>
        <v>0</v>
      </c>
      <c r="Q47" s="873">
        <f>'t1'!N47</f>
        <v>0</v>
      </c>
    </row>
    <row r="48" spans="1:17" ht="14.1" customHeight="1">
      <c r="A48" s="152" t="str">
        <f>'t1'!A48</f>
        <v>CONTRATTISTI (a)</v>
      </c>
      <c r="B48" s="224" t="str">
        <f>'t1'!B48</f>
        <v>000061</v>
      </c>
      <c r="C48" s="329"/>
      <c r="D48" s="330"/>
      <c r="E48" s="329"/>
      <c r="F48" s="330"/>
      <c r="G48" s="329"/>
      <c r="H48" s="331"/>
      <c r="I48" s="527"/>
      <c r="J48" s="331"/>
      <c r="K48" s="527"/>
      <c r="L48" s="331"/>
      <c r="M48" s="332"/>
      <c r="N48" s="333"/>
      <c r="O48" s="455">
        <f>SUM(C48,E48,G48,I48,K48,M48)</f>
        <v>0</v>
      </c>
      <c r="P48" s="456">
        <f>SUM(D48,F48,H48,J48,L48,N48)</f>
        <v>0</v>
      </c>
      <c r="Q48" s="873">
        <f>'t1'!N48</f>
        <v>0</v>
      </c>
    </row>
    <row r="49" spans="1:20" ht="14.1" customHeight="1" thickBot="1">
      <c r="A49" s="152" t="str">
        <f>'t1'!A49</f>
        <v>COLLABORATORE A T.D. ART. 90 TUEL (b)</v>
      </c>
      <c r="B49" s="224" t="str">
        <f>'t1'!B49</f>
        <v>000096</v>
      </c>
      <c r="C49" s="329"/>
      <c r="D49" s="330"/>
      <c r="E49" s="329"/>
      <c r="F49" s="330"/>
      <c r="G49" s="329"/>
      <c r="H49" s="331"/>
      <c r="I49" s="527"/>
      <c r="J49" s="331"/>
      <c r="K49" s="527"/>
      <c r="L49" s="331"/>
      <c r="M49" s="332"/>
      <c r="N49" s="333"/>
      <c r="O49" s="455">
        <f t="shared" si="0"/>
        <v>0</v>
      </c>
      <c r="P49" s="456">
        <f t="shared" si="1"/>
        <v>0</v>
      </c>
      <c r="Q49" s="873">
        <f>'t1'!N49</f>
        <v>0</v>
      </c>
    </row>
    <row r="50" spans="1:20" ht="12" customHeight="1" thickTop="1" thickBot="1">
      <c r="A50" s="43" t="s">
        <v>107</v>
      </c>
      <c r="B50" s="44"/>
      <c r="C50" s="457">
        <f t="shared" ref="C50:P50" si="2">SUM(C6:C49)</f>
        <v>0</v>
      </c>
      <c r="D50" s="458">
        <f t="shared" si="2"/>
        <v>0</v>
      </c>
      <c r="E50" s="457">
        <f t="shared" si="2"/>
        <v>0</v>
      </c>
      <c r="F50" s="458">
        <f t="shared" si="2"/>
        <v>1</v>
      </c>
      <c r="G50" s="457">
        <f t="shared" si="2"/>
        <v>0</v>
      </c>
      <c r="H50" s="458">
        <f t="shared" si="2"/>
        <v>0</v>
      </c>
      <c r="I50" s="528">
        <f>SUM(I6:I49)</f>
        <v>1</v>
      </c>
      <c r="J50" s="458">
        <f>SUM(J6:J49)</f>
        <v>2</v>
      </c>
      <c r="K50" s="528">
        <f>SUM(K6:K49)</f>
        <v>0</v>
      </c>
      <c r="L50" s="458">
        <f>SUM(L6:L49)</f>
        <v>0</v>
      </c>
      <c r="M50" s="529">
        <f t="shared" si="2"/>
        <v>0</v>
      </c>
      <c r="N50" s="458">
        <f t="shared" si="2"/>
        <v>0</v>
      </c>
      <c r="O50" s="457">
        <f t="shared" si="2"/>
        <v>1</v>
      </c>
      <c r="P50" s="458">
        <f t="shared" si="2"/>
        <v>3</v>
      </c>
    </row>
    <row r="51" spans="1:20" ht="18" customHeight="1">
      <c r="A51" s="25" t="str">
        <f>'t1'!$A$201</f>
        <v>(a) personale a tempo indeterminato al quale viene applicato un contratto di lavoro di tipo privatistico (es.:tipografico,chimico,edile,metalmeccanico,portierato, ecc.)</v>
      </c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80"/>
      <c r="P51" s="45"/>
      <c r="Q51" s="45"/>
      <c r="R51" s="45"/>
      <c r="S51" s="45"/>
      <c r="T51" s="45"/>
    </row>
    <row r="52" spans="1:20" s="5" customFormat="1" ht="10.199999999999999">
      <c r="A52" s="25" t="str">
        <f>'t1'!$A$202</f>
        <v>(b) cfr." istruzioni generali e specifiche di comparto" e "glossario"</v>
      </c>
      <c r="B52" s="7"/>
    </row>
  </sheetData>
  <sheetProtection password="EA98" sheet="1" formatColumns="0" selectLockedCells="1"/>
  <mergeCells count="6">
    <mergeCell ref="M3:P3"/>
    <mergeCell ref="A1:N1"/>
    <mergeCell ref="G4:H4"/>
    <mergeCell ref="I4:J4"/>
    <mergeCell ref="M4:N4"/>
    <mergeCell ref="K4:L4"/>
  </mergeCells>
  <phoneticPr fontId="30" type="noConversion"/>
  <conditionalFormatting sqref="A6:P49">
    <cfRule type="expression" dxfId="9" priority="1" stopIfTrue="1">
      <formula>$Q6&gt;0</formula>
    </cfRule>
  </conditionalFormatting>
  <printOptions horizontalCentered="1" verticalCentered="1"/>
  <pageMargins left="0" right="0" top="0.19685039370078741" bottom="0.15748031496062992" header="0.19685039370078741" footer="0.15748031496062992"/>
  <pageSetup paperSize="9" scale="7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/>
  <dimension ref="A1:AZ52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ColWidth="9.28515625" defaultRowHeight="17.25" customHeight="1"/>
  <cols>
    <col min="1" max="1" width="42.28515625" style="5" customWidth="1"/>
    <col min="2" max="2" width="8.7109375" style="7" bestFit="1" customWidth="1"/>
    <col min="3" max="26" width="7.85546875" style="5" customWidth="1"/>
    <col min="27" max="48" width="8.42578125" style="5" customWidth="1"/>
    <col min="49" max="49" width="15.140625" style="788" bestFit="1" customWidth="1"/>
    <col min="50" max="51" width="8.7109375" style="5" customWidth="1"/>
    <col min="52" max="52" width="0" style="5" hidden="1" customWidth="1"/>
    <col min="53" max="16384" width="9.28515625" style="5"/>
  </cols>
  <sheetData>
    <row r="1" spans="1:52" ht="43.5" customHeight="1">
      <c r="A1" s="1479" t="s">
        <v>424</v>
      </c>
      <c r="B1" s="2"/>
      <c r="C1" s="1442" t="str">
        <f>'t1'!A1</f>
        <v>COMPARTO REGIONI ED AUTONOMIE LOCALI - anno 2017</v>
      </c>
      <c r="D1" s="1442"/>
      <c r="E1" s="1442"/>
      <c r="F1" s="1442"/>
      <c r="G1" s="1442"/>
      <c r="H1" s="1442"/>
      <c r="I1" s="1442"/>
      <c r="J1" s="1442"/>
      <c r="K1" s="1442"/>
      <c r="L1" s="1442"/>
      <c r="M1" s="1442"/>
      <c r="N1" s="1442"/>
      <c r="O1" s="1442"/>
      <c r="P1" s="1442"/>
      <c r="Q1" s="1442"/>
      <c r="R1" s="1442"/>
      <c r="S1" s="1442"/>
      <c r="T1" s="1442"/>
      <c r="U1" s="1442"/>
      <c r="V1" s="1442"/>
      <c r="W1" s="1442"/>
      <c r="Z1" s="311"/>
      <c r="AA1" s="1442" t="str">
        <f>C1</f>
        <v>COMPARTO REGIONI ED AUTONOMIE LOCALI - anno 2017</v>
      </c>
      <c r="AB1" s="1442"/>
      <c r="AC1" s="1442"/>
      <c r="AD1" s="1442"/>
      <c r="AE1" s="1442"/>
      <c r="AF1" s="1442"/>
      <c r="AG1" s="1442"/>
      <c r="AH1" s="1442"/>
      <c r="AI1" s="1442"/>
      <c r="AJ1" s="1442"/>
      <c r="AK1" s="1442"/>
      <c r="AL1" s="1442"/>
      <c r="AM1" s="1442"/>
      <c r="AN1" s="1442"/>
      <c r="AO1" s="1442"/>
      <c r="AP1" s="1442"/>
      <c r="AQ1" s="1442"/>
      <c r="AR1" s="1442"/>
      <c r="AS1" s="1442"/>
      <c r="AV1" s="311"/>
      <c r="AY1" s="311"/>
    </row>
    <row r="2" spans="1:52" ht="30" customHeight="1" thickBot="1">
      <c r="A2" s="1480"/>
      <c r="S2" s="1443"/>
      <c r="T2" s="1443"/>
      <c r="U2" s="1443"/>
      <c r="V2" s="1443"/>
      <c r="W2" s="1443"/>
      <c r="X2" s="1443"/>
      <c r="Y2" s="1443"/>
      <c r="Z2" s="1443"/>
      <c r="AO2" s="1443"/>
      <c r="AP2" s="1443"/>
      <c r="AQ2" s="1443"/>
      <c r="AR2" s="1443"/>
      <c r="AS2" s="1443"/>
      <c r="AT2" s="1443"/>
      <c r="AU2" s="1443"/>
      <c r="AV2" s="1443"/>
    </row>
    <row r="3" spans="1:52" ht="10.8" thickBot="1">
      <c r="A3" s="128"/>
      <c r="B3" s="261" t="s">
        <v>286</v>
      </c>
      <c r="C3" s="129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270"/>
      <c r="Y3" s="270"/>
      <c r="Z3" s="131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1"/>
      <c r="AX3" s="798"/>
      <c r="AY3" s="799"/>
    </row>
    <row r="4" spans="1:52" ht="31.2" thickTop="1">
      <c r="A4" s="26" t="s">
        <v>178</v>
      </c>
      <c r="B4" s="262" t="s">
        <v>144</v>
      </c>
      <c r="C4" s="132" t="s">
        <v>358</v>
      </c>
      <c r="D4" s="133"/>
      <c r="E4" s="134" t="s">
        <v>555</v>
      </c>
      <c r="F4" s="133"/>
      <c r="G4" s="1421" t="s">
        <v>158</v>
      </c>
      <c r="H4" s="1481"/>
      <c r="I4" s="134" t="s">
        <v>159</v>
      </c>
      <c r="J4" s="134"/>
      <c r="K4" s="134" t="s">
        <v>156</v>
      </c>
      <c r="L4" s="134"/>
      <c r="M4" s="134" t="s">
        <v>150</v>
      </c>
      <c r="N4" s="135"/>
      <c r="O4" s="134" t="s">
        <v>359</v>
      </c>
      <c r="P4" s="134"/>
      <c r="Q4" s="134" t="s">
        <v>154</v>
      </c>
      <c r="R4" s="133"/>
      <c r="S4" s="263" t="s">
        <v>149</v>
      </c>
      <c r="T4" s="134"/>
      <c r="U4" s="134" t="s">
        <v>147</v>
      </c>
      <c r="V4" s="137"/>
      <c r="W4" s="134" t="s">
        <v>153</v>
      </c>
      <c r="X4" s="136"/>
      <c r="Y4" s="134" t="s">
        <v>155</v>
      </c>
      <c r="Z4" s="136"/>
      <c r="AA4" s="134" t="s">
        <v>146</v>
      </c>
      <c r="AB4" s="136"/>
      <c r="AC4" s="134" t="s">
        <v>157</v>
      </c>
      <c r="AD4" s="137"/>
      <c r="AE4" s="134" t="s">
        <v>161</v>
      </c>
      <c r="AF4" s="134"/>
      <c r="AG4" s="134" t="s">
        <v>160</v>
      </c>
      <c r="AH4" s="138"/>
      <c r="AI4" s="134" t="s">
        <v>151</v>
      </c>
      <c r="AJ4" s="137"/>
      <c r="AK4" s="134" t="s">
        <v>152</v>
      </c>
      <c r="AL4" s="134"/>
      <c r="AM4" s="134" t="s">
        <v>145</v>
      </c>
      <c r="AN4" s="137"/>
      <c r="AO4" s="134" t="s">
        <v>148</v>
      </c>
      <c r="AP4" s="136"/>
      <c r="AQ4" s="134" t="s">
        <v>360</v>
      </c>
      <c r="AR4" s="136"/>
      <c r="AS4" s="137" t="s">
        <v>361</v>
      </c>
      <c r="AT4" s="132"/>
      <c r="AU4" s="137" t="s">
        <v>107</v>
      </c>
      <c r="AV4" s="138"/>
      <c r="AX4" s="800" t="s">
        <v>767</v>
      </c>
      <c r="AY4" s="801"/>
    </row>
    <row r="5" spans="1:52" s="269" customFormat="1" ht="10.8" thickBot="1">
      <c r="A5" s="877" t="s">
        <v>825</v>
      </c>
      <c r="B5" s="264"/>
      <c r="C5" s="265" t="s">
        <v>105</v>
      </c>
      <c r="D5" s="266" t="s">
        <v>106</v>
      </c>
      <c r="E5" s="265" t="s">
        <v>105</v>
      </c>
      <c r="F5" s="266" t="s">
        <v>106</v>
      </c>
      <c r="G5" s="265" t="s">
        <v>105</v>
      </c>
      <c r="H5" s="266" t="s">
        <v>106</v>
      </c>
      <c r="I5" s="265" t="s">
        <v>105</v>
      </c>
      <c r="J5" s="266" t="s">
        <v>106</v>
      </c>
      <c r="K5" s="265" t="s">
        <v>105</v>
      </c>
      <c r="L5" s="266" t="s">
        <v>106</v>
      </c>
      <c r="M5" s="265" t="s">
        <v>105</v>
      </c>
      <c r="N5" s="267" t="s">
        <v>106</v>
      </c>
      <c r="O5" s="265" t="s">
        <v>105</v>
      </c>
      <c r="P5" s="267" t="s">
        <v>106</v>
      </c>
      <c r="Q5" s="265" t="s">
        <v>105</v>
      </c>
      <c r="R5" s="267" t="s">
        <v>106</v>
      </c>
      <c r="S5" s="265" t="s">
        <v>105</v>
      </c>
      <c r="T5" s="267" t="s">
        <v>106</v>
      </c>
      <c r="U5" s="265" t="s">
        <v>105</v>
      </c>
      <c r="V5" s="267" t="s">
        <v>106</v>
      </c>
      <c r="W5" s="265" t="s">
        <v>105</v>
      </c>
      <c r="X5" s="266" t="s">
        <v>106</v>
      </c>
      <c r="Y5" s="265" t="s">
        <v>105</v>
      </c>
      <c r="Z5" s="266" t="s">
        <v>106</v>
      </c>
      <c r="AA5" s="265" t="s">
        <v>105</v>
      </c>
      <c r="AB5" s="266" t="s">
        <v>106</v>
      </c>
      <c r="AC5" s="265" t="s">
        <v>105</v>
      </c>
      <c r="AD5" s="267" t="s">
        <v>106</v>
      </c>
      <c r="AE5" s="265" t="s">
        <v>105</v>
      </c>
      <c r="AF5" s="267" t="s">
        <v>106</v>
      </c>
      <c r="AG5" s="265" t="s">
        <v>105</v>
      </c>
      <c r="AH5" s="267" t="s">
        <v>106</v>
      </c>
      <c r="AI5" s="265" t="s">
        <v>105</v>
      </c>
      <c r="AJ5" s="267" t="s">
        <v>106</v>
      </c>
      <c r="AK5" s="265" t="s">
        <v>105</v>
      </c>
      <c r="AL5" s="267" t="s">
        <v>106</v>
      </c>
      <c r="AM5" s="265" t="s">
        <v>105</v>
      </c>
      <c r="AN5" s="267" t="s">
        <v>106</v>
      </c>
      <c r="AO5" s="265" t="s">
        <v>105</v>
      </c>
      <c r="AP5" s="266" t="s">
        <v>106</v>
      </c>
      <c r="AQ5" s="265" t="s">
        <v>105</v>
      </c>
      <c r="AR5" s="266" t="s">
        <v>106</v>
      </c>
      <c r="AS5" s="268" t="s">
        <v>105</v>
      </c>
      <c r="AT5" s="266" t="s">
        <v>106</v>
      </c>
      <c r="AU5" s="268" t="s">
        <v>105</v>
      </c>
      <c r="AV5" s="267" t="s">
        <v>106</v>
      </c>
      <c r="AW5" s="789"/>
      <c r="AX5" s="802" t="s">
        <v>105</v>
      </c>
      <c r="AY5" s="803" t="s">
        <v>106</v>
      </c>
    </row>
    <row r="6" spans="1:52" ht="12.75" customHeight="1" thickTop="1">
      <c r="A6" s="24" t="str">
        <f>'t1'!A6</f>
        <v>SEGRETARIO A</v>
      </c>
      <c r="B6" s="151" t="str">
        <f>'t1'!B6</f>
        <v>0D0102</v>
      </c>
      <c r="C6" s="749"/>
      <c r="D6" s="249"/>
      <c r="E6" s="749"/>
      <c r="F6" s="249"/>
      <c r="G6" s="749"/>
      <c r="H6" s="249"/>
      <c r="I6" s="749"/>
      <c r="J6" s="249"/>
      <c r="K6" s="749"/>
      <c r="L6" s="249"/>
      <c r="M6" s="749"/>
      <c r="N6" s="249"/>
      <c r="O6" s="749"/>
      <c r="P6" s="249"/>
      <c r="Q6" s="749"/>
      <c r="R6" s="249"/>
      <c r="S6" s="749"/>
      <c r="T6" s="249"/>
      <c r="U6" s="749"/>
      <c r="V6" s="249"/>
      <c r="W6" s="749"/>
      <c r="X6" s="249"/>
      <c r="Y6" s="749"/>
      <c r="Z6" s="249"/>
      <c r="AA6" s="749"/>
      <c r="AB6" s="249"/>
      <c r="AC6" s="749"/>
      <c r="AD6" s="249"/>
      <c r="AE6" s="749"/>
      <c r="AF6" s="249"/>
      <c r="AG6" s="749"/>
      <c r="AH6" s="249"/>
      <c r="AI6" s="749"/>
      <c r="AJ6" s="249"/>
      <c r="AK6" s="749"/>
      <c r="AL6" s="249"/>
      <c r="AM6" s="749"/>
      <c r="AN6" s="249"/>
      <c r="AO6" s="749"/>
      <c r="AP6" s="249"/>
      <c r="AQ6" s="749"/>
      <c r="AR6" s="249"/>
      <c r="AS6" s="749"/>
      <c r="AT6" s="249"/>
      <c r="AU6" s="459">
        <f>SUM(S6,U6,W6,Y6,C6,E6,G6,I6,K6,M6,O6,Q6,AA6,AC6,AE6,AG6,AI6,AK6,AM6,AO6,AQ6,AS6)</f>
        <v>0</v>
      </c>
      <c r="AV6" s="460">
        <f>SUM(T6,V6,X6,Z6,D6,F6,H6,J6,L6,N6,P6,R6,AB6,AD6,AF6,AH6,AJ6,AL6,AN6,AP6,AR6,AT6)</f>
        <v>0</v>
      </c>
      <c r="AW6" s="804" t="str">
        <f>IF((AU6+AV6)=(AX6+AY6),"OK","Controllare totale")</f>
        <v>OK</v>
      </c>
      <c r="AX6" s="790">
        <f>'t1'!L6-'t3'!C6-'t3'!E6-'t3'!G6-'t3'!I6-'t3'!K6+'t3'!M6+'t3'!O6+'t3'!Q6</f>
        <v>0</v>
      </c>
      <c r="AY6" s="791">
        <f>'t1'!M6-'t3'!D6-'t3'!F6-'t3'!H6-'t3'!J6-'t3'!L6+'t3'!N6+'t3'!P6+'t3'!R6</f>
        <v>0</v>
      </c>
      <c r="AZ6" s="867">
        <f>'t1'!N6</f>
        <v>0</v>
      </c>
    </row>
    <row r="7" spans="1:52" ht="12.75" customHeight="1">
      <c r="A7" s="24" t="str">
        <f>'t1'!A7</f>
        <v>SEGRETARIO B</v>
      </c>
      <c r="B7" s="151" t="str">
        <f>'t1'!B7</f>
        <v>0D0103</v>
      </c>
      <c r="C7" s="749"/>
      <c r="D7" s="249"/>
      <c r="E7" s="749"/>
      <c r="F7" s="249"/>
      <c r="G7" s="749"/>
      <c r="H7" s="249"/>
      <c r="I7" s="749"/>
      <c r="J7" s="249"/>
      <c r="K7" s="749"/>
      <c r="L7" s="249"/>
      <c r="M7" s="749"/>
      <c r="N7" s="249"/>
      <c r="O7" s="749"/>
      <c r="P7" s="249"/>
      <c r="Q7" s="749"/>
      <c r="R7" s="249"/>
      <c r="S7" s="749"/>
      <c r="T7" s="249"/>
      <c r="U7" s="749"/>
      <c r="V7" s="249"/>
      <c r="W7" s="749"/>
      <c r="X7" s="249"/>
      <c r="Y7" s="749"/>
      <c r="Z7" s="249"/>
      <c r="AA7" s="749"/>
      <c r="AB7" s="249"/>
      <c r="AC7" s="749"/>
      <c r="AD7" s="249"/>
      <c r="AE7" s="749"/>
      <c r="AF7" s="249"/>
      <c r="AG7" s="749"/>
      <c r="AH7" s="249"/>
      <c r="AI7" s="749"/>
      <c r="AJ7" s="249"/>
      <c r="AK7" s="749"/>
      <c r="AL7" s="249"/>
      <c r="AM7" s="749"/>
      <c r="AN7" s="249"/>
      <c r="AO7" s="749"/>
      <c r="AP7" s="249"/>
      <c r="AQ7" s="749"/>
      <c r="AR7" s="249"/>
      <c r="AS7" s="749"/>
      <c r="AT7" s="249"/>
      <c r="AU7" s="459">
        <f>SUM(C7,E7,G7,I7,K7,M7,O7,Q7,S7,U7,W7,Y7,AA7,AC7,AE7,AG7,AI7,AK7,AM7,AO7,AQ7,AS7)</f>
        <v>0</v>
      </c>
      <c r="AV7" s="460">
        <f t="shared" ref="AV7:AV40" si="0">SUM(T7,V7,X7,Z7,D7,F7,H7,J7,L7,N7,P7,R7,AB7,AD7,AF7,AH7,AJ7,AL7,AN7,AP7,AR7,AT7)</f>
        <v>0</v>
      </c>
      <c r="AW7" s="804" t="str">
        <f t="shared" ref="AW7:AW50" si="1">IF((AU7+AV7)=(AX7+AY7),"OK","Controllare totale")</f>
        <v>OK</v>
      </c>
      <c r="AX7" s="792">
        <f>'t1'!L7-'t3'!C7-'t3'!E7-'t3'!G7-'t3'!I7-'t3'!K7+'t3'!M7+'t3'!O7+'t3'!Q7</f>
        <v>0</v>
      </c>
      <c r="AY7" s="793">
        <f>'t1'!M7-'t3'!D7-'t3'!F7-'t3'!H7-'t3'!J7-'t3'!L7+'t3'!N7+'t3'!P7+'t3'!R7</f>
        <v>0</v>
      </c>
      <c r="AZ7" s="867">
        <f>'t1'!N7</f>
        <v>0</v>
      </c>
    </row>
    <row r="8" spans="1:52" ht="12.75" customHeight="1">
      <c r="A8" s="24" t="str">
        <f>'t1'!A8</f>
        <v>SEGRETARIO C</v>
      </c>
      <c r="B8" s="151" t="str">
        <f>'t1'!B8</f>
        <v>0D0485</v>
      </c>
      <c r="C8" s="749"/>
      <c r="D8" s="249"/>
      <c r="E8" s="749"/>
      <c r="F8" s="249"/>
      <c r="G8" s="749"/>
      <c r="H8" s="249"/>
      <c r="I8" s="749"/>
      <c r="J8" s="249"/>
      <c r="K8" s="749"/>
      <c r="L8" s="249"/>
      <c r="M8" s="749"/>
      <c r="N8" s="249"/>
      <c r="O8" s="749"/>
      <c r="P8" s="249"/>
      <c r="Q8" s="749"/>
      <c r="R8" s="249"/>
      <c r="S8" s="749"/>
      <c r="T8" s="249"/>
      <c r="U8" s="749"/>
      <c r="V8" s="249"/>
      <c r="W8" s="749"/>
      <c r="X8" s="249"/>
      <c r="Y8" s="749"/>
      <c r="Z8" s="249"/>
      <c r="AA8" s="749"/>
      <c r="AB8" s="249"/>
      <c r="AC8" s="749"/>
      <c r="AD8" s="249"/>
      <c r="AE8" s="749"/>
      <c r="AF8" s="249"/>
      <c r="AG8" s="749"/>
      <c r="AH8" s="249"/>
      <c r="AI8" s="749"/>
      <c r="AJ8" s="249"/>
      <c r="AK8" s="749"/>
      <c r="AL8" s="249"/>
      <c r="AM8" s="749"/>
      <c r="AN8" s="249"/>
      <c r="AO8" s="749"/>
      <c r="AP8" s="249"/>
      <c r="AQ8" s="749"/>
      <c r="AR8" s="249"/>
      <c r="AS8" s="749"/>
      <c r="AT8" s="249"/>
      <c r="AU8" s="459">
        <f>SUM(S8,U8,W8,Y8,C8,E8,G8,I8,K8,M8,O8,Q8,AA8,AC8,AE8,AG8,AI8,AK8,AM8,AO8,AQ8,AS8)</f>
        <v>0</v>
      </c>
      <c r="AV8" s="460">
        <f t="shared" si="0"/>
        <v>0</v>
      </c>
      <c r="AW8" s="804" t="str">
        <f t="shared" si="1"/>
        <v>OK</v>
      </c>
      <c r="AX8" s="792">
        <f>'t1'!L8-'t3'!C8-'t3'!E8-'t3'!G8-'t3'!I8-'t3'!K8+'t3'!M8+'t3'!O8+'t3'!Q8</f>
        <v>0</v>
      </c>
      <c r="AY8" s="793">
        <f>'t1'!M8-'t3'!D8-'t3'!F8-'t3'!H8-'t3'!J8-'t3'!L8+'t3'!N8+'t3'!P8+'t3'!R8</f>
        <v>0</v>
      </c>
      <c r="AZ8" s="867">
        <f>'t1'!N8</f>
        <v>0</v>
      </c>
    </row>
    <row r="9" spans="1:52" ht="12.75" customHeight="1">
      <c r="A9" s="24" t="str">
        <f>'t1'!A9</f>
        <v>SEGRETARIO GENERALE CCIAA</v>
      </c>
      <c r="B9" s="151" t="str">
        <f>'t1'!B9</f>
        <v>0D0104</v>
      </c>
      <c r="C9" s="749"/>
      <c r="D9" s="249"/>
      <c r="E9" s="749"/>
      <c r="F9" s="249"/>
      <c r="G9" s="749"/>
      <c r="H9" s="249"/>
      <c r="I9" s="749"/>
      <c r="J9" s="249"/>
      <c r="K9" s="749"/>
      <c r="L9" s="249"/>
      <c r="M9" s="749"/>
      <c r="N9" s="249"/>
      <c r="O9" s="749"/>
      <c r="P9" s="249"/>
      <c r="Q9" s="749"/>
      <c r="R9" s="249"/>
      <c r="S9" s="749"/>
      <c r="T9" s="249"/>
      <c r="U9" s="749"/>
      <c r="V9" s="249"/>
      <c r="W9" s="749"/>
      <c r="X9" s="249"/>
      <c r="Y9" s="749"/>
      <c r="Z9" s="249"/>
      <c r="AA9" s="749"/>
      <c r="AB9" s="249"/>
      <c r="AC9" s="749"/>
      <c r="AD9" s="249"/>
      <c r="AE9" s="749"/>
      <c r="AF9" s="249"/>
      <c r="AG9" s="749"/>
      <c r="AH9" s="249"/>
      <c r="AI9" s="749"/>
      <c r="AJ9" s="249"/>
      <c r="AK9" s="749"/>
      <c r="AL9" s="249"/>
      <c r="AM9" s="749"/>
      <c r="AN9" s="249"/>
      <c r="AO9" s="749"/>
      <c r="AP9" s="249"/>
      <c r="AQ9" s="749"/>
      <c r="AR9" s="249"/>
      <c r="AS9" s="749"/>
      <c r="AT9" s="249"/>
      <c r="AU9" s="459">
        <f t="shared" ref="AU9:AU40" si="2">SUM(S9,U9,W9,Y9,C9,E9,G9,I9,K9,M9,O9,Q9,AA9,AC9,AE9,AG9,AI9,AK9,AM9,AO9,AQ9,AS9)</f>
        <v>0</v>
      </c>
      <c r="AV9" s="460">
        <f t="shared" si="0"/>
        <v>0</v>
      </c>
      <c r="AW9" s="804" t="str">
        <f t="shared" si="1"/>
        <v>OK</v>
      </c>
      <c r="AX9" s="792">
        <f>'t1'!L9-'t3'!C9-'t3'!E9-'t3'!G9-'t3'!I9-'t3'!K9+'t3'!M9+'t3'!O9+'t3'!Q9</f>
        <v>0</v>
      </c>
      <c r="AY9" s="793">
        <f>'t1'!M9-'t3'!D9-'t3'!F9-'t3'!H9-'t3'!J9-'t3'!L9+'t3'!N9+'t3'!P9+'t3'!R9</f>
        <v>0</v>
      </c>
      <c r="AZ9" s="867">
        <f>'t1'!N9</f>
        <v>0</v>
      </c>
    </row>
    <row r="10" spans="1:52" ht="12.75" customHeight="1">
      <c r="A10" s="24" t="str">
        <f>'t1'!A10</f>
        <v>DIRETTORE  GENERALE</v>
      </c>
      <c r="B10" s="151" t="str">
        <f>'t1'!B10</f>
        <v>0D0097</v>
      </c>
      <c r="C10" s="749"/>
      <c r="D10" s="249"/>
      <c r="E10" s="749"/>
      <c r="F10" s="249"/>
      <c r="G10" s="749"/>
      <c r="H10" s="249"/>
      <c r="I10" s="749"/>
      <c r="J10" s="249"/>
      <c r="K10" s="749"/>
      <c r="L10" s="249"/>
      <c r="M10" s="749"/>
      <c r="N10" s="249"/>
      <c r="O10" s="749"/>
      <c r="P10" s="249"/>
      <c r="Q10" s="749"/>
      <c r="R10" s="249"/>
      <c r="S10" s="749"/>
      <c r="T10" s="249"/>
      <c r="U10" s="749"/>
      <c r="V10" s="249"/>
      <c r="W10" s="749"/>
      <c r="X10" s="249"/>
      <c r="Y10" s="749"/>
      <c r="Z10" s="249"/>
      <c r="AA10" s="749"/>
      <c r="AB10" s="249"/>
      <c r="AC10" s="749"/>
      <c r="AD10" s="249"/>
      <c r="AE10" s="749"/>
      <c r="AF10" s="249"/>
      <c r="AG10" s="749"/>
      <c r="AH10" s="249"/>
      <c r="AI10" s="749"/>
      <c r="AJ10" s="249"/>
      <c r="AK10" s="749"/>
      <c r="AL10" s="249"/>
      <c r="AM10" s="749"/>
      <c r="AN10" s="249"/>
      <c r="AO10" s="749"/>
      <c r="AP10" s="249"/>
      <c r="AQ10" s="749"/>
      <c r="AR10" s="249"/>
      <c r="AS10" s="749"/>
      <c r="AT10" s="249"/>
      <c r="AU10" s="459">
        <f t="shared" si="2"/>
        <v>0</v>
      </c>
      <c r="AV10" s="460">
        <f t="shared" si="0"/>
        <v>0</v>
      </c>
      <c r="AW10" s="804" t="str">
        <f t="shared" si="1"/>
        <v>OK</v>
      </c>
      <c r="AX10" s="792">
        <f>'t1'!L10-'t3'!C10-'t3'!E10-'t3'!G10-'t3'!I10-'t3'!K10+'t3'!M10+'t3'!O10+'t3'!Q10</f>
        <v>0</v>
      </c>
      <c r="AY10" s="793">
        <f>'t1'!M10-'t3'!D10-'t3'!F10-'t3'!H10-'t3'!J10-'t3'!L10+'t3'!N10+'t3'!P10+'t3'!R10</f>
        <v>0</v>
      </c>
      <c r="AZ10" s="867">
        <f>'t1'!N10</f>
        <v>0</v>
      </c>
    </row>
    <row r="11" spans="1:52" ht="12.75" customHeight="1">
      <c r="A11" s="24" t="str">
        <f>'t1'!A11</f>
        <v>DIRIGENTE FUORI D.O. art.110 c.2 TUEL</v>
      </c>
      <c r="B11" s="151" t="str">
        <f>'t1'!B11</f>
        <v>0D0098</v>
      </c>
      <c r="C11" s="749"/>
      <c r="D11" s="249"/>
      <c r="E11" s="749"/>
      <c r="F11" s="249"/>
      <c r="G11" s="749"/>
      <c r="H11" s="249"/>
      <c r="I11" s="749"/>
      <c r="J11" s="249"/>
      <c r="K11" s="749"/>
      <c r="L11" s="249"/>
      <c r="M11" s="749"/>
      <c r="N11" s="249"/>
      <c r="O11" s="749"/>
      <c r="P11" s="249"/>
      <c r="Q11" s="749"/>
      <c r="R11" s="249"/>
      <c r="S11" s="749"/>
      <c r="T11" s="249"/>
      <c r="U11" s="749"/>
      <c r="V11" s="249"/>
      <c r="W11" s="749"/>
      <c r="X11" s="249"/>
      <c r="Y11" s="749"/>
      <c r="Z11" s="249"/>
      <c r="AA11" s="749"/>
      <c r="AB11" s="249"/>
      <c r="AC11" s="749"/>
      <c r="AD11" s="249"/>
      <c r="AE11" s="749"/>
      <c r="AF11" s="249"/>
      <c r="AG11" s="749"/>
      <c r="AH11" s="249"/>
      <c r="AI11" s="749"/>
      <c r="AJ11" s="249"/>
      <c r="AK11" s="749"/>
      <c r="AL11" s="249"/>
      <c r="AM11" s="749"/>
      <c r="AN11" s="249"/>
      <c r="AO11" s="749"/>
      <c r="AP11" s="249"/>
      <c r="AQ11" s="749"/>
      <c r="AR11" s="249"/>
      <c r="AS11" s="749"/>
      <c r="AT11" s="249"/>
      <c r="AU11" s="459">
        <f t="shared" si="2"/>
        <v>0</v>
      </c>
      <c r="AV11" s="460">
        <f t="shared" si="0"/>
        <v>0</v>
      </c>
      <c r="AW11" s="804" t="str">
        <f t="shared" si="1"/>
        <v>OK</v>
      </c>
      <c r="AX11" s="792">
        <f>'t1'!L11-'t3'!C11-'t3'!E11-'t3'!G11-'t3'!I11-'t3'!K11+'t3'!M11+'t3'!O11+'t3'!Q11</f>
        <v>0</v>
      </c>
      <c r="AY11" s="793">
        <f>'t1'!M11-'t3'!D11-'t3'!F11-'t3'!H11-'t3'!J11-'t3'!L11+'t3'!N11+'t3'!P11+'t3'!R11</f>
        <v>0</v>
      </c>
      <c r="AZ11" s="867">
        <f>'t1'!N11</f>
        <v>0</v>
      </c>
    </row>
    <row r="12" spans="1:52" ht="12.75" customHeight="1">
      <c r="A12" s="24" t="str">
        <f>'t1'!A12</f>
        <v>ALTE SPECIALIZZ. FUORI D.O.art.110 c.2 TUEL</v>
      </c>
      <c r="B12" s="151" t="str">
        <f>'t1'!B12</f>
        <v>0D0095</v>
      </c>
      <c r="C12" s="749"/>
      <c r="D12" s="249"/>
      <c r="E12" s="749"/>
      <c r="F12" s="249"/>
      <c r="G12" s="749"/>
      <c r="H12" s="249"/>
      <c r="I12" s="749"/>
      <c r="J12" s="249"/>
      <c r="K12" s="749"/>
      <c r="L12" s="249"/>
      <c r="M12" s="749"/>
      <c r="N12" s="249"/>
      <c r="O12" s="749"/>
      <c r="P12" s="249"/>
      <c r="Q12" s="749"/>
      <c r="R12" s="249"/>
      <c r="S12" s="749"/>
      <c r="T12" s="249"/>
      <c r="U12" s="749"/>
      <c r="V12" s="249"/>
      <c r="W12" s="749"/>
      <c r="X12" s="249"/>
      <c r="Y12" s="749"/>
      <c r="Z12" s="249"/>
      <c r="AA12" s="749"/>
      <c r="AB12" s="249"/>
      <c r="AC12" s="749"/>
      <c r="AD12" s="249"/>
      <c r="AE12" s="749"/>
      <c r="AF12" s="249"/>
      <c r="AG12" s="749"/>
      <c r="AH12" s="249"/>
      <c r="AI12" s="749"/>
      <c r="AJ12" s="249"/>
      <c r="AK12" s="749"/>
      <c r="AL12" s="249"/>
      <c r="AM12" s="749"/>
      <c r="AN12" s="249"/>
      <c r="AO12" s="749"/>
      <c r="AP12" s="249"/>
      <c r="AQ12" s="749"/>
      <c r="AR12" s="249"/>
      <c r="AS12" s="749"/>
      <c r="AT12" s="249"/>
      <c r="AU12" s="459">
        <f t="shared" si="2"/>
        <v>0</v>
      </c>
      <c r="AV12" s="460">
        <f t="shared" si="0"/>
        <v>0</v>
      </c>
      <c r="AW12" s="804" t="str">
        <f t="shared" si="1"/>
        <v>OK</v>
      </c>
      <c r="AX12" s="792">
        <f>'t1'!L12-'t3'!C12-'t3'!E12-'t3'!G12-'t3'!I12-'t3'!K12+'t3'!M12+'t3'!O12+'t3'!Q12</f>
        <v>0</v>
      </c>
      <c r="AY12" s="793">
        <f>'t1'!M12-'t3'!D12-'t3'!F12-'t3'!H12-'t3'!J12-'t3'!L12+'t3'!N12+'t3'!P12+'t3'!R12</f>
        <v>0</v>
      </c>
      <c r="AZ12" s="867">
        <f>'t1'!N12</f>
        <v>0</v>
      </c>
    </row>
    <row r="13" spans="1:52" ht="12.75" customHeight="1">
      <c r="A13" s="24" t="str">
        <f>'t1'!A13</f>
        <v>DIRIGENTE A TEMPO INDETERMINATO</v>
      </c>
      <c r="B13" s="151" t="str">
        <f>'t1'!B13</f>
        <v>0D0164</v>
      </c>
      <c r="C13" s="749"/>
      <c r="D13" s="249"/>
      <c r="E13" s="749"/>
      <c r="F13" s="249"/>
      <c r="G13" s="749"/>
      <c r="H13" s="249"/>
      <c r="I13" s="749"/>
      <c r="J13" s="249"/>
      <c r="K13" s="749"/>
      <c r="L13" s="249"/>
      <c r="M13" s="749"/>
      <c r="N13" s="249"/>
      <c r="O13" s="749"/>
      <c r="P13" s="249"/>
      <c r="Q13" s="749"/>
      <c r="R13" s="249"/>
      <c r="S13" s="749"/>
      <c r="T13" s="249"/>
      <c r="U13" s="749"/>
      <c r="V13" s="249"/>
      <c r="W13" s="749"/>
      <c r="X13" s="249"/>
      <c r="Y13" s="749"/>
      <c r="Z13" s="249"/>
      <c r="AA13" s="749"/>
      <c r="AB13" s="249"/>
      <c r="AC13" s="749"/>
      <c r="AD13" s="249"/>
      <c r="AE13" s="749"/>
      <c r="AF13" s="249"/>
      <c r="AG13" s="749"/>
      <c r="AH13" s="249"/>
      <c r="AI13" s="749"/>
      <c r="AJ13" s="249"/>
      <c r="AK13" s="749"/>
      <c r="AL13" s="249"/>
      <c r="AM13" s="749"/>
      <c r="AN13" s="249"/>
      <c r="AO13" s="749"/>
      <c r="AP13" s="249"/>
      <c r="AQ13" s="749"/>
      <c r="AR13" s="249"/>
      <c r="AS13" s="749"/>
      <c r="AT13" s="249"/>
      <c r="AU13" s="459">
        <f t="shared" si="2"/>
        <v>0</v>
      </c>
      <c r="AV13" s="460">
        <f t="shared" si="0"/>
        <v>0</v>
      </c>
      <c r="AW13" s="804" t="str">
        <f t="shared" si="1"/>
        <v>OK</v>
      </c>
      <c r="AX13" s="792">
        <f>'t1'!L13-'t3'!C13-'t3'!E13-'t3'!G13-'t3'!I13-'t3'!K13+'t3'!M13+'t3'!O13+'t3'!Q13</f>
        <v>0</v>
      </c>
      <c r="AY13" s="793">
        <f>'t1'!M13-'t3'!D13-'t3'!F13-'t3'!H13-'t3'!J13-'t3'!L13+'t3'!N13+'t3'!P13+'t3'!R13</f>
        <v>0</v>
      </c>
      <c r="AZ13" s="867">
        <f>'t1'!N13</f>
        <v>0</v>
      </c>
    </row>
    <row r="14" spans="1:52" ht="12.75" customHeight="1">
      <c r="A14" s="24" t="str">
        <f>'t1'!A14</f>
        <v>DIRIGENTE A TEMPO DET.TO  ART.110 C.1 TUEL</v>
      </c>
      <c r="B14" s="151" t="str">
        <f>'t1'!B14</f>
        <v>0D0165</v>
      </c>
      <c r="C14" s="749"/>
      <c r="D14" s="249"/>
      <c r="E14" s="749"/>
      <c r="F14" s="249"/>
      <c r="G14" s="749"/>
      <c r="H14" s="249"/>
      <c r="I14" s="749"/>
      <c r="J14" s="249"/>
      <c r="K14" s="749"/>
      <c r="L14" s="249"/>
      <c r="M14" s="749"/>
      <c r="N14" s="249"/>
      <c r="O14" s="749"/>
      <c r="P14" s="249"/>
      <c r="Q14" s="749"/>
      <c r="R14" s="249"/>
      <c r="S14" s="749"/>
      <c r="T14" s="249"/>
      <c r="U14" s="749"/>
      <c r="V14" s="249"/>
      <c r="W14" s="749"/>
      <c r="X14" s="249"/>
      <c r="Y14" s="749"/>
      <c r="Z14" s="249"/>
      <c r="AA14" s="749"/>
      <c r="AB14" s="249"/>
      <c r="AC14" s="749"/>
      <c r="AD14" s="249"/>
      <c r="AE14" s="749"/>
      <c r="AF14" s="249"/>
      <c r="AG14" s="749"/>
      <c r="AH14" s="249"/>
      <c r="AI14" s="749"/>
      <c r="AJ14" s="249"/>
      <c r="AK14" s="749"/>
      <c r="AL14" s="249"/>
      <c r="AM14" s="749"/>
      <c r="AN14" s="249"/>
      <c r="AO14" s="749"/>
      <c r="AP14" s="249"/>
      <c r="AQ14" s="749"/>
      <c r="AR14" s="249"/>
      <c r="AS14" s="749"/>
      <c r="AT14" s="249"/>
      <c r="AU14" s="459">
        <f t="shared" si="2"/>
        <v>0</v>
      </c>
      <c r="AV14" s="460">
        <f t="shared" si="0"/>
        <v>0</v>
      </c>
      <c r="AW14" s="804" t="str">
        <f t="shared" si="1"/>
        <v>OK</v>
      </c>
      <c r="AX14" s="792">
        <f>'t1'!L14-'t3'!C14-'t3'!E14-'t3'!G14-'t3'!I14-'t3'!K14+'t3'!M14+'t3'!O14+'t3'!Q14</f>
        <v>0</v>
      </c>
      <c r="AY14" s="793">
        <f>'t1'!M14-'t3'!D14-'t3'!F14-'t3'!H14-'t3'!J14-'t3'!L14+'t3'!N14+'t3'!P14+'t3'!R14</f>
        <v>0</v>
      </c>
      <c r="AZ14" s="867">
        <f>'t1'!N14</f>
        <v>0</v>
      </c>
    </row>
    <row r="15" spans="1:52" ht="12.75" customHeight="1">
      <c r="A15" s="24" t="str">
        <f>'t1'!A15</f>
        <v>ALTE SPECIALIZZ. IN D.O. art.110 c.1 TUEL</v>
      </c>
      <c r="B15" s="151" t="str">
        <f>'t1'!B15</f>
        <v>0D0I95</v>
      </c>
      <c r="C15" s="749"/>
      <c r="D15" s="249"/>
      <c r="E15" s="749"/>
      <c r="F15" s="249"/>
      <c r="G15" s="749"/>
      <c r="H15" s="249"/>
      <c r="I15" s="749"/>
      <c r="J15" s="249"/>
      <c r="K15" s="749"/>
      <c r="L15" s="249"/>
      <c r="M15" s="749"/>
      <c r="N15" s="249"/>
      <c r="O15" s="749"/>
      <c r="P15" s="249"/>
      <c r="Q15" s="749"/>
      <c r="R15" s="249"/>
      <c r="S15" s="749"/>
      <c r="T15" s="249"/>
      <c r="U15" s="749"/>
      <c r="V15" s="249"/>
      <c r="W15" s="749"/>
      <c r="X15" s="249"/>
      <c r="Y15" s="749"/>
      <c r="Z15" s="249"/>
      <c r="AA15" s="749"/>
      <c r="AB15" s="249"/>
      <c r="AC15" s="749"/>
      <c r="AD15" s="249"/>
      <c r="AE15" s="749"/>
      <c r="AF15" s="249"/>
      <c r="AG15" s="749"/>
      <c r="AH15" s="249"/>
      <c r="AI15" s="749"/>
      <c r="AJ15" s="249"/>
      <c r="AK15" s="749"/>
      <c r="AL15" s="249"/>
      <c r="AM15" s="749"/>
      <c r="AN15" s="249"/>
      <c r="AO15" s="749"/>
      <c r="AP15" s="249"/>
      <c r="AQ15" s="749"/>
      <c r="AR15" s="249"/>
      <c r="AS15" s="749"/>
      <c r="AT15" s="249"/>
      <c r="AU15" s="459">
        <f t="shared" si="2"/>
        <v>0</v>
      </c>
      <c r="AV15" s="460">
        <f t="shared" si="0"/>
        <v>0</v>
      </c>
      <c r="AW15" s="804" t="str">
        <f t="shared" si="1"/>
        <v>OK</v>
      </c>
      <c r="AX15" s="792">
        <f>'t1'!L15-'t3'!C15-'t3'!E15-'t3'!G15-'t3'!I15-'t3'!K15+'t3'!M15+'t3'!O15+'t3'!Q15</f>
        <v>0</v>
      </c>
      <c r="AY15" s="793">
        <f>'t1'!M15-'t3'!D15-'t3'!F15-'t3'!H15-'t3'!J15-'t3'!L15+'t3'!N15+'t3'!P15+'t3'!R15</f>
        <v>0</v>
      </c>
      <c r="AZ15" s="867">
        <f>'t1'!N15</f>
        <v>0</v>
      </c>
    </row>
    <row r="16" spans="1:52" ht="12.75" customHeight="1">
      <c r="A16" s="24" t="str">
        <f>'t1'!A16</f>
        <v>POSIZ. ECON. D6 - PROFILI ACCESSO D3</v>
      </c>
      <c r="B16" s="151" t="str">
        <f>'t1'!B16</f>
        <v>0D6A00</v>
      </c>
      <c r="C16" s="749"/>
      <c r="D16" s="249"/>
      <c r="E16" s="749"/>
      <c r="F16" s="249"/>
      <c r="G16" s="749"/>
      <c r="H16" s="249"/>
      <c r="I16" s="749"/>
      <c r="J16" s="249"/>
      <c r="K16" s="749"/>
      <c r="L16" s="249"/>
      <c r="M16" s="749"/>
      <c r="N16" s="249"/>
      <c r="O16" s="749"/>
      <c r="P16" s="249"/>
      <c r="Q16" s="749"/>
      <c r="R16" s="249"/>
      <c r="S16" s="749"/>
      <c r="T16" s="249"/>
      <c r="U16" s="749"/>
      <c r="V16" s="249"/>
      <c r="W16" s="749"/>
      <c r="X16" s="249"/>
      <c r="Y16" s="749"/>
      <c r="Z16" s="249"/>
      <c r="AA16" s="749"/>
      <c r="AB16" s="249"/>
      <c r="AC16" s="749"/>
      <c r="AD16" s="249"/>
      <c r="AE16" s="749"/>
      <c r="AF16" s="249"/>
      <c r="AG16" s="749"/>
      <c r="AH16" s="249"/>
      <c r="AI16" s="749"/>
      <c r="AJ16" s="249"/>
      <c r="AK16" s="749"/>
      <c r="AL16" s="249"/>
      <c r="AM16" s="749"/>
      <c r="AN16" s="249"/>
      <c r="AO16" s="749"/>
      <c r="AP16" s="249"/>
      <c r="AQ16" s="749"/>
      <c r="AR16" s="249"/>
      <c r="AS16" s="749"/>
      <c r="AT16" s="249"/>
      <c r="AU16" s="459">
        <f t="shared" si="2"/>
        <v>0</v>
      </c>
      <c r="AV16" s="460">
        <f t="shared" si="0"/>
        <v>0</v>
      </c>
      <c r="AW16" s="804" t="str">
        <f t="shared" si="1"/>
        <v>OK</v>
      </c>
      <c r="AX16" s="792">
        <f>'t1'!L16-'t3'!C16-'t3'!E16-'t3'!G16-'t3'!I16-'t3'!K16+'t3'!M16+'t3'!O16+'t3'!Q16</f>
        <v>0</v>
      </c>
      <c r="AY16" s="793">
        <f>'t1'!M16-'t3'!D16-'t3'!F16-'t3'!H16-'t3'!J16-'t3'!L16+'t3'!N16+'t3'!P16+'t3'!R16</f>
        <v>0</v>
      </c>
      <c r="AZ16" s="867">
        <f>'t1'!N16</f>
        <v>0</v>
      </c>
    </row>
    <row r="17" spans="1:52" ht="12.75" customHeight="1">
      <c r="A17" s="24" t="str">
        <f>'t1'!A17</f>
        <v>POSIZ. ECON. D6 - PROFILO ACCESSO D1</v>
      </c>
      <c r="B17" s="151" t="str">
        <f>'t1'!B17</f>
        <v>0D6000</v>
      </c>
      <c r="C17" s="749"/>
      <c r="D17" s="249"/>
      <c r="E17" s="749"/>
      <c r="F17" s="249"/>
      <c r="G17" s="749"/>
      <c r="H17" s="249"/>
      <c r="I17" s="749"/>
      <c r="J17" s="249"/>
      <c r="K17" s="749"/>
      <c r="L17" s="249"/>
      <c r="M17" s="749"/>
      <c r="N17" s="249"/>
      <c r="O17" s="749"/>
      <c r="P17" s="249"/>
      <c r="Q17" s="749"/>
      <c r="R17" s="249"/>
      <c r="S17" s="749"/>
      <c r="T17" s="249"/>
      <c r="U17" s="749"/>
      <c r="V17" s="249"/>
      <c r="W17" s="749"/>
      <c r="X17" s="249"/>
      <c r="Y17" s="749"/>
      <c r="Z17" s="249"/>
      <c r="AA17" s="749"/>
      <c r="AB17" s="249"/>
      <c r="AC17" s="749"/>
      <c r="AD17" s="249"/>
      <c r="AE17" s="749"/>
      <c r="AF17" s="249"/>
      <c r="AG17" s="749"/>
      <c r="AH17" s="249"/>
      <c r="AI17" s="749"/>
      <c r="AJ17" s="249"/>
      <c r="AK17" s="749"/>
      <c r="AL17" s="249"/>
      <c r="AM17" s="749"/>
      <c r="AN17" s="249"/>
      <c r="AO17" s="749"/>
      <c r="AP17" s="249"/>
      <c r="AQ17" s="749"/>
      <c r="AR17" s="249"/>
      <c r="AS17" s="749"/>
      <c r="AT17" s="249"/>
      <c r="AU17" s="459">
        <f t="shared" si="2"/>
        <v>0</v>
      </c>
      <c r="AV17" s="460">
        <f t="shared" si="0"/>
        <v>0</v>
      </c>
      <c r="AW17" s="804" t="str">
        <f t="shared" si="1"/>
        <v>OK</v>
      </c>
      <c r="AX17" s="792">
        <f>'t1'!L17-'t3'!C17-'t3'!E17-'t3'!G17-'t3'!I17-'t3'!K17+'t3'!M17+'t3'!O17+'t3'!Q17</f>
        <v>0</v>
      </c>
      <c r="AY17" s="793">
        <f>'t1'!M17-'t3'!D17-'t3'!F17-'t3'!H17-'t3'!J17-'t3'!L17+'t3'!N17+'t3'!P17+'t3'!R17</f>
        <v>0</v>
      </c>
      <c r="AZ17" s="867">
        <f>'t1'!N17</f>
        <v>0</v>
      </c>
    </row>
    <row r="18" spans="1:52" ht="12.75" customHeight="1">
      <c r="A18" s="24" t="str">
        <f>'t1'!A18</f>
        <v>POSIZ. ECON. D5 PROFILI ACCESSO D3</v>
      </c>
      <c r="B18" s="151" t="str">
        <f>'t1'!B18</f>
        <v>052486</v>
      </c>
      <c r="C18" s="749"/>
      <c r="D18" s="249"/>
      <c r="E18" s="749"/>
      <c r="F18" s="249"/>
      <c r="G18" s="749"/>
      <c r="H18" s="249"/>
      <c r="I18" s="749"/>
      <c r="J18" s="249"/>
      <c r="K18" s="749"/>
      <c r="L18" s="249"/>
      <c r="M18" s="749"/>
      <c r="N18" s="249"/>
      <c r="O18" s="749"/>
      <c r="P18" s="249"/>
      <c r="Q18" s="749"/>
      <c r="R18" s="249"/>
      <c r="S18" s="749"/>
      <c r="T18" s="249"/>
      <c r="U18" s="749"/>
      <c r="V18" s="249"/>
      <c r="W18" s="749"/>
      <c r="X18" s="249"/>
      <c r="Y18" s="749"/>
      <c r="Z18" s="249"/>
      <c r="AA18" s="749"/>
      <c r="AB18" s="249"/>
      <c r="AC18" s="749"/>
      <c r="AD18" s="249"/>
      <c r="AE18" s="749"/>
      <c r="AF18" s="249"/>
      <c r="AG18" s="749"/>
      <c r="AH18" s="249"/>
      <c r="AI18" s="749"/>
      <c r="AJ18" s="249"/>
      <c r="AK18" s="749"/>
      <c r="AL18" s="249"/>
      <c r="AM18" s="749"/>
      <c r="AN18" s="249"/>
      <c r="AO18" s="749"/>
      <c r="AP18" s="249"/>
      <c r="AQ18" s="749"/>
      <c r="AR18" s="249"/>
      <c r="AS18" s="749"/>
      <c r="AT18" s="249"/>
      <c r="AU18" s="459">
        <f t="shared" si="2"/>
        <v>0</v>
      </c>
      <c r="AV18" s="460">
        <f t="shared" si="0"/>
        <v>0</v>
      </c>
      <c r="AW18" s="804" t="str">
        <f t="shared" si="1"/>
        <v>OK</v>
      </c>
      <c r="AX18" s="792">
        <f>'t1'!L18-'t3'!C18-'t3'!E18-'t3'!G18-'t3'!I18-'t3'!K18+'t3'!M18+'t3'!O18+'t3'!Q18</f>
        <v>0</v>
      </c>
      <c r="AY18" s="793">
        <f>'t1'!M18-'t3'!D18-'t3'!F18-'t3'!H18-'t3'!J18-'t3'!L18+'t3'!N18+'t3'!P18+'t3'!R18</f>
        <v>0</v>
      </c>
      <c r="AZ18" s="867">
        <f>'t1'!N18</f>
        <v>0</v>
      </c>
    </row>
    <row r="19" spans="1:52" ht="12.75" customHeight="1">
      <c r="A19" s="24" t="str">
        <f>'t1'!A19</f>
        <v>POSIZ. ECON. D5 PROFILI ACCESSO D1</v>
      </c>
      <c r="B19" s="151" t="str">
        <f>'t1'!B19</f>
        <v>052487</v>
      </c>
      <c r="C19" s="749"/>
      <c r="D19" s="249"/>
      <c r="E19" s="749"/>
      <c r="F19" s="249"/>
      <c r="G19" s="749"/>
      <c r="H19" s="249"/>
      <c r="I19" s="749"/>
      <c r="J19" s="249"/>
      <c r="K19" s="749"/>
      <c r="L19" s="249"/>
      <c r="M19" s="749"/>
      <c r="N19" s="249"/>
      <c r="O19" s="749"/>
      <c r="P19" s="249"/>
      <c r="Q19" s="749"/>
      <c r="R19" s="249"/>
      <c r="S19" s="749"/>
      <c r="T19" s="249"/>
      <c r="U19" s="749"/>
      <c r="V19" s="249"/>
      <c r="W19" s="749"/>
      <c r="X19" s="249"/>
      <c r="Y19" s="749"/>
      <c r="Z19" s="249"/>
      <c r="AA19" s="749"/>
      <c r="AB19" s="249"/>
      <c r="AC19" s="749"/>
      <c r="AD19" s="249"/>
      <c r="AE19" s="749"/>
      <c r="AF19" s="249"/>
      <c r="AG19" s="749"/>
      <c r="AH19" s="249"/>
      <c r="AI19" s="749"/>
      <c r="AJ19" s="249"/>
      <c r="AK19" s="749"/>
      <c r="AL19" s="249"/>
      <c r="AM19" s="749"/>
      <c r="AN19" s="249"/>
      <c r="AO19" s="749"/>
      <c r="AP19" s="249"/>
      <c r="AQ19" s="749"/>
      <c r="AR19" s="249"/>
      <c r="AS19" s="749"/>
      <c r="AT19" s="249"/>
      <c r="AU19" s="459">
        <f t="shared" si="2"/>
        <v>0</v>
      </c>
      <c r="AV19" s="460">
        <f t="shared" si="0"/>
        <v>0</v>
      </c>
      <c r="AW19" s="804" t="str">
        <f t="shared" si="1"/>
        <v>OK</v>
      </c>
      <c r="AX19" s="792">
        <f>'t1'!L19-'t3'!C19-'t3'!E19-'t3'!G19-'t3'!I19-'t3'!K19+'t3'!M19+'t3'!O19+'t3'!Q19</f>
        <v>0</v>
      </c>
      <c r="AY19" s="793">
        <f>'t1'!M19-'t3'!D19-'t3'!F19-'t3'!H19-'t3'!J19-'t3'!L19+'t3'!N19+'t3'!P19+'t3'!R19</f>
        <v>0</v>
      </c>
      <c r="AZ19" s="867">
        <f>'t1'!N19</f>
        <v>0</v>
      </c>
    </row>
    <row r="20" spans="1:52" ht="12.75" customHeight="1">
      <c r="A20" s="24" t="str">
        <f>'t1'!A20</f>
        <v>POSIZ. ECON. D4 PROFILI ACCESSO D3</v>
      </c>
      <c r="B20" s="151" t="str">
        <f>'t1'!B20</f>
        <v>051488</v>
      </c>
      <c r="C20" s="749"/>
      <c r="D20" s="249"/>
      <c r="E20" s="749"/>
      <c r="F20" s="249"/>
      <c r="G20" s="749"/>
      <c r="H20" s="249"/>
      <c r="I20" s="749"/>
      <c r="J20" s="249"/>
      <c r="K20" s="749"/>
      <c r="L20" s="249"/>
      <c r="M20" s="749"/>
      <c r="N20" s="249"/>
      <c r="O20" s="749"/>
      <c r="P20" s="249"/>
      <c r="Q20" s="749"/>
      <c r="R20" s="249"/>
      <c r="S20" s="749"/>
      <c r="T20" s="249"/>
      <c r="U20" s="749"/>
      <c r="V20" s="249"/>
      <c r="W20" s="749"/>
      <c r="X20" s="249"/>
      <c r="Y20" s="749"/>
      <c r="Z20" s="249"/>
      <c r="AA20" s="749"/>
      <c r="AB20" s="249"/>
      <c r="AC20" s="749"/>
      <c r="AD20" s="249"/>
      <c r="AE20" s="749"/>
      <c r="AF20" s="249"/>
      <c r="AG20" s="749"/>
      <c r="AH20" s="249"/>
      <c r="AI20" s="749"/>
      <c r="AJ20" s="249"/>
      <c r="AK20" s="749"/>
      <c r="AL20" s="249"/>
      <c r="AM20" s="749"/>
      <c r="AN20" s="249"/>
      <c r="AO20" s="749"/>
      <c r="AP20" s="249"/>
      <c r="AQ20" s="749"/>
      <c r="AR20" s="249"/>
      <c r="AS20" s="749"/>
      <c r="AT20" s="249"/>
      <c r="AU20" s="459">
        <f t="shared" si="2"/>
        <v>0</v>
      </c>
      <c r="AV20" s="460">
        <f t="shared" si="0"/>
        <v>0</v>
      </c>
      <c r="AW20" s="804" t="str">
        <f t="shared" si="1"/>
        <v>OK</v>
      </c>
      <c r="AX20" s="792">
        <f>'t1'!L20-'t3'!C20-'t3'!E20-'t3'!G20-'t3'!I20-'t3'!K20+'t3'!M20+'t3'!O20+'t3'!Q20</f>
        <v>0</v>
      </c>
      <c r="AY20" s="793">
        <f>'t1'!M20-'t3'!D20-'t3'!F20-'t3'!H20-'t3'!J20-'t3'!L20+'t3'!N20+'t3'!P20+'t3'!R20</f>
        <v>0</v>
      </c>
      <c r="AZ20" s="867">
        <f>'t1'!N20</f>
        <v>0</v>
      </c>
    </row>
    <row r="21" spans="1:52" ht="12.75" customHeight="1">
      <c r="A21" s="24" t="str">
        <f>'t1'!A21</f>
        <v>POSIZ. ECON. D4 PROFILI ACCESSO D1</v>
      </c>
      <c r="B21" s="151" t="str">
        <f>'t1'!B21</f>
        <v>051489</v>
      </c>
      <c r="C21" s="749"/>
      <c r="D21" s="249"/>
      <c r="E21" s="749"/>
      <c r="F21" s="249"/>
      <c r="G21" s="749"/>
      <c r="H21" s="249"/>
      <c r="I21" s="749"/>
      <c r="J21" s="249"/>
      <c r="K21" s="749"/>
      <c r="L21" s="249"/>
      <c r="M21" s="749"/>
      <c r="N21" s="249"/>
      <c r="O21" s="749"/>
      <c r="P21" s="249"/>
      <c r="Q21" s="749"/>
      <c r="R21" s="249"/>
      <c r="S21" s="749"/>
      <c r="T21" s="249"/>
      <c r="U21" s="749"/>
      <c r="V21" s="249"/>
      <c r="W21" s="749"/>
      <c r="X21" s="249"/>
      <c r="Y21" s="749"/>
      <c r="Z21" s="249"/>
      <c r="AA21" s="749"/>
      <c r="AB21" s="249"/>
      <c r="AC21" s="749"/>
      <c r="AD21" s="249"/>
      <c r="AE21" s="749"/>
      <c r="AF21" s="249"/>
      <c r="AG21" s="749"/>
      <c r="AH21" s="249"/>
      <c r="AI21" s="749"/>
      <c r="AJ21" s="249"/>
      <c r="AK21" s="749"/>
      <c r="AL21" s="249"/>
      <c r="AM21" s="749"/>
      <c r="AN21" s="249"/>
      <c r="AO21" s="749"/>
      <c r="AP21" s="249"/>
      <c r="AQ21" s="749"/>
      <c r="AR21" s="249"/>
      <c r="AS21" s="749"/>
      <c r="AT21" s="249"/>
      <c r="AU21" s="459">
        <f t="shared" si="2"/>
        <v>0</v>
      </c>
      <c r="AV21" s="460">
        <f t="shared" si="0"/>
        <v>0</v>
      </c>
      <c r="AW21" s="804" t="str">
        <f t="shared" si="1"/>
        <v>OK</v>
      </c>
      <c r="AX21" s="792">
        <f>'t1'!L21-'t3'!C21-'t3'!E21-'t3'!G21-'t3'!I21-'t3'!K21+'t3'!M21+'t3'!O21+'t3'!Q21</f>
        <v>0</v>
      </c>
      <c r="AY21" s="793">
        <f>'t1'!M21-'t3'!D21-'t3'!F21-'t3'!H21-'t3'!J21-'t3'!L21+'t3'!N21+'t3'!P21+'t3'!R21</f>
        <v>0</v>
      </c>
      <c r="AZ21" s="867">
        <f>'t1'!N21</f>
        <v>0</v>
      </c>
    </row>
    <row r="22" spans="1:52" ht="12.75" customHeight="1">
      <c r="A22" s="24" t="str">
        <f>'t1'!A22</f>
        <v>POSIZIONE ECONOMICA DI ACCESSO D3</v>
      </c>
      <c r="B22" s="151" t="str">
        <f>'t1'!B22</f>
        <v>058000</v>
      </c>
      <c r="C22" s="749"/>
      <c r="D22" s="249"/>
      <c r="E22" s="749"/>
      <c r="F22" s="249"/>
      <c r="G22" s="749"/>
      <c r="H22" s="249"/>
      <c r="I22" s="749"/>
      <c r="J22" s="249"/>
      <c r="K22" s="749"/>
      <c r="L22" s="249"/>
      <c r="M22" s="749"/>
      <c r="N22" s="249"/>
      <c r="O22" s="749"/>
      <c r="P22" s="249"/>
      <c r="Q22" s="749"/>
      <c r="R22" s="249"/>
      <c r="S22" s="749"/>
      <c r="T22" s="249"/>
      <c r="U22" s="749"/>
      <c r="V22" s="249"/>
      <c r="W22" s="749"/>
      <c r="X22" s="249"/>
      <c r="Y22" s="749"/>
      <c r="Z22" s="249"/>
      <c r="AA22" s="749"/>
      <c r="AB22" s="249"/>
      <c r="AC22" s="749"/>
      <c r="AD22" s="249"/>
      <c r="AE22" s="749"/>
      <c r="AF22" s="249"/>
      <c r="AG22" s="749"/>
      <c r="AH22" s="249"/>
      <c r="AI22" s="749"/>
      <c r="AJ22" s="249"/>
      <c r="AK22" s="749"/>
      <c r="AL22" s="249"/>
      <c r="AM22" s="749"/>
      <c r="AN22" s="249"/>
      <c r="AO22" s="749"/>
      <c r="AP22" s="249"/>
      <c r="AQ22" s="749"/>
      <c r="AR22" s="249"/>
      <c r="AS22" s="749"/>
      <c r="AT22" s="249"/>
      <c r="AU22" s="459">
        <f t="shared" si="2"/>
        <v>0</v>
      </c>
      <c r="AV22" s="460">
        <f t="shared" si="0"/>
        <v>0</v>
      </c>
      <c r="AW22" s="804" t="str">
        <f t="shared" si="1"/>
        <v>OK</v>
      </c>
      <c r="AX22" s="792">
        <f>'t1'!L22-'t3'!C22-'t3'!E22-'t3'!G22-'t3'!I22-'t3'!K22+'t3'!M22+'t3'!O22+'t3'!Q22</f>
        <v>0</v>
      </c>
      <c r="AY22" s="793">
        <f>'t1'!M22-'t3'!D22-'t3'!F22-'t3'!H22-'t3'!J22-'t3'!L22+'t3'!N22+'t3'!P22+'t3'!R22</f>
        <v>0</v>
      </c>
      <c r="AZ22" s="867">
        <f>'t1'!N22</f>
        <v>0</v>
      </c>
    </row>
    <row r="23" spans="1:52" ht="12.75" customHeight="1">
      <c r="A23" s="24" t="str">
        <f>'t1'!A23</f>
        <v>POSIZIONE ECONOMICA D3</v>
      </c>
      <c r="B23" s="151" t="str">
        <f>'t1'!B23</f>
        <v>050000</v>
      </c>
      <c r="C23" s="749"/>
      <c r="D23" s="249"/>
      <c r="E23" s="749"/>
      <c r="F23" s="249"/>
      <c r="G23" s="749"/>
      <c r="H23" s="249"/>
      <c r="I23" s="749"/>
      <c r="J23" s="249"/>
      <c r="K23" s="749"/>
      <c r="L23" s="249"/>
      <c r="M23" s="749"/>
      <c r="N23" s="249"/>
      <c r="O23" s="749"/>
      <c r="P23" s="249"/>
      <c r="Q23" s="749"/>
      <c r="R23" s="249"/>
      <c r="S23" s="749"/>
      <c r="T23" s="249"/>
      <c r="U23" s="749"/>
      <c r="V23" s="249"/>
      <c r="W23" s="749"/>
      <c r="X23" s="249"/>
      <c r="Y23" s="749"/>
      <c r="Z23" s="249"/>
      <c r="AA23" s="749"/>
      <c r="AB23" s="249"/>
      <c r="AC23" s="749"/>
      <c r="AD23" s="249"/>
      <c r="AE23" s="749"/>
      <c r="AF23" s="249"/>
      <c r="AG23" s="749"/>
      <c r="AH23" s="249"/>
      <c r="AI23" s="749"/>
      <c r="AJ23" s="249"/>
      <c r="AK23" s="749"/>
      <c r="AL23" s="249"/>
      <c r="AM23" s="749"/>
      <c r="AN23" s="249"/>
      <c r="AO23" s="749"/>
      <c r="AP23" s="249"/>
      <c r="AQ23" s="749"/>
      <c r="AR23" s="249"/>
      <c r="AS23" s="749"/>
      <c r="AT23" s="249"/>
      <c r="AU23" s="459">
        <f t="shared" si="2"/>
        <v>0</v>
      </c>
      <c r="AV23" s="460">
        <f t="shared" si="0"/>
        <v>0</v>
      </c>
      <c r="AW23" s="804" t="str">
        <f t="shared" si="1"/>
        <v>OK</v>
      </c>
      <c r="AX23" s="792">
        <f>'t1'!L23-'t3'!C23-'t3'!E23-'t3'!G23-'t3'!I23-'t3'!K23+'t3'!M23+'t3'!O23+'t3'!Q23</f>
        <v>0</v>
      </c>
      <c r="AY23" s="793">
        <f>'t1'!M23-'t3'!D23-'t3'!F23-'t3'!H23-'t3'!J23-'t3'!L23+'t3'!N23+'t3'!P23+'t3'!R23</f>
        <v>0</v>
      </c>
      <c r="AZ23" s="867">
        <f>'t1'!N23</f>
        <v>0</v>
      </c>
    </row>
    <row r="24" spans="1:52" ht="12.75" customHeight="1">
      <c r="A24" s="24" t="str">
        <f>'t1'!A24</f>
        <v>POSIZIONE ECONOMICA D2</v>
      </c>
      <c r="B24" s="151" t="str">
        <f>'t1'!B24</f>
        <v>049000</v>
      </c>
      <c r="C24" s="749"/>
      <c r="D24" s="249"/>
      <c r="E24" s="749"/>
      <c r="F24" s="249"/>
      <c r="G24" s="749"/>
      <c r="H24" s="249"/>
      <c r="I24" s="749"/>
      <c r="J24" s="249"/>
      <c r="K24" s="749"/>
      <c r="L24" s="249"/>
      <c r="M24" s="749"/>
      <c r="N24" s="249"/>
      <c r="O24" s="749"/>
      <c r="P24" s="249"/>
      <c r="Q24" s="749"/>
      <c r="R24" s="249"/>
      <c r="S24" s="749"/>
      <c r="T24" s="249"/>
      <c r="U24" s="749"/>
      <c r="V24" s="249"/>
      <c r="W24" s="749"/>
      <c r="X24" s="249"/>
      <c r="Y24" s="749"/>
      <c r="Z24" s="249"/>
      <c r="AA24" s="749"/>
      <c r="AB24" s="249"/>
      <c r="AC24" s="749"/>
      <c r="AD24" s="249"/>
      <c r="AE24" s="749"/>
      <c r="AF24" s="249"/>
      <c r="AG24" s="749"/>
      <c r="AH24" s="249"/>
      <c r="AI24" s="749"/>
      <c r="AJ24" s="249"/>
      <c r="AK24" s="749"/>
      <c r="AL24" s="249"/>
      <c r="AM24" s="749"/>
      <c r="AN24" s="249"/>
      <c r="AO24" s="749"/>
      <c r="AP24" s="249"/>
      <c r="AQ24" s="749"/>
      <c r="AR24" s="249"/>
      <c r="AS24" s="749"/>
      <c r="AT24" s="249"/>
      <c r="AU24" s="459">
        <f t="shared" si="2"/>
        <v>0</v>
      </c>
      <c r="AV24" s="460">
        <f t="shared" si="0"/>
        <v>0</v>
      </c>
      <c r="AW24" s="804" t="str">
        <f t="shared" si="1"/>
        <v>OK</v>
      </c>
      <c r="AX24" s="792">
        <f>'t1'!L24-'t3'!C24-'t3'!E24-'t3'!G24-'t3'!I24-'t3'!K24+'t3'!M24+'t3'!O24+'t3'!Q24</f>
        <v>0</v>
      </c>
      <c r="AY24" s="793">
        <f>'t1'!M24-'t3'!D24-'t3'!F24-'t3'!H24-'t3'!J24-'t3'!L24+'t3'!N24+'t3'!P24+'t3'!R24</f>
        <v>0</v>
      </c>
      <c r="AZ24" s="867">
        <f>'t1'!N24</f>
        <v>0</v>
      </c>
    </row>
    <row r="25" spans="1:52" ht="12.75" customHeight="1">
      <c r="A25" s="24" t="str">
        <f>'t1'!A25</f>
        <v>POSIZIONE ECONOMICA DI ACCESSO D1</v>
      </c>
      <c r="B25" s="151" t="str">
        <f>'t1'!B25</f>
        <v>057000</v>
      </c>
      <c r="C25" s="749"/>
      <c r="D25" s="249"/>
      <c r="E25" s="749"/>
      <c r="F25" s="249"/>
      <c r="G25" s="749"/>
      <c r="H25" s="249"/>
      <c r="I25" s="749"/>
      <c r="J25" s="249"/>
      <c r="K25" s="749"/>
      <c r="L25" s="249"/>
      <c r="M25" s="749"/>
      <c r="N25" s="249"/>
      <c r="O25" s="749"/>
      <c r="P25" s="249"/>
      <c r="Q25" s="749"/>
      <c r="R25" s="249"/>
      <c r="S25" s="749"/>
      <c r="T25" s="249"/>
      <c r="U25" s="749"/>
      <c r="V25" s="249"/>
      <c r="W25" s="749"/>
      <c r="X25" s="249"/>
      <c r="Y25" s="749"/>
      <c r="Z25" s="249"/>
      <c r="AA25" s="749"/>
      <c r="AB25" s="249"/>
      <c r="AC25" s="749"/>
      <c r="AD25" s="249"/>
      <c r="AE25" s="749"/>
      <c r="AF25" s="249"/>
      <c r="AG25" s="749"/>
      <c r="AH25" s="249"/>
      <c r="AI25" s="749"/>
      <c r="AJ25" s="249"/>
      <c r="AK25" s="749"/>
      <c r="AL25" s="249"/>
      <c r="AM25" s="749"/>
      <c r="AN25" s="249"/>
      <c r="AO25" s="749"/>
      <c r="AP25" s="249"/>
      <c r="AQ25" s="749"/>
      <c r="AR25" s="249"/>
      <c r="AS25" s="749"/>
      <c r="AT25" s="249"/>
      <c r="AU25" s="459">
        <f t="shared" si="2"/>
        <v>0</v>
      </c>
      <c r="AV25" s="460">
        <f t="shared" si="0"/>
        <v>0</v>
      </c>
      <c r="AW25" s="804" t="str">
        <f t="shared" si="1"/>
        <v>Controllare totale</v>
      </c>
      <c r="AX25" s="792">
        <f>'t1'!L25-'t3'!C25-'t3'!E25-'t3'!G25-'t3'!I25-'t3'!K25+'t3'!M25+'t3'!O25+'t3'!Q25</f>
        <v>1</v>
      </c>
      <c r="AY25" s="793">
        <f>'t1'!M25-'t3'!D25-'t3'!F25-'t3'!H25-'t3'!J25-'t3'!L25+'t3'!N25+'t3'!P25+'t3'!R25</f>
        <v>0</v>
      </c>
      <c r="AZ25" s="867">
        <f>'t1'!N25</f>
        <v>1</v>
      </c>
    </row>
    <row r="26" spans="1:52" ht="12.75" customHeight="1">
      <c r="A26" s="24" t="str">
        <f>'t1'!A26</f>
        <v>POSIZIONE ECONOMICA C5</v>
      </c>
      <c r="B26" s="151" t="str">
        <f>'t1'!B26</f>
        <v>046000</v>
      </c>
      <c r="C26" s="749"/>
      <c r="D26" s="249"/>
      <c r="E26" s="749"/>
      <c r="F26" s="249"/>
      <c r="G26" s="749"/>
      <c r="H26" s="249"/>
      <c r="I26" s="749"/>
      <c r="J26" s="249"/>
      <c r="K26" s="749"/>
      <c r="L26" s="249"/>
      <c r="M26" s="749"/>
      <c r="N26" s="249"/>
      <c r="O26" s="749"/>
      <c r="P26" s="249"/>
      <c r="Q26" s="749"/>
      <c r="R26" s="249"/>
      <c r="S26" s="749"/>
      <c r="T26" s="249"/>
      <c r="U26" s="749"/>
      <c r="V26" s="249"/>
      <c r="W26" s="749"/>
      <c r="X26" s="249"/>
      <c r="Y26" s="749"/>
      <c r="Z26" s="249"/>
      <c r="AA26" s="749"/>
      <c r="AB26" s="249"/>
      <c r="AC26" s="749"/>
      <c r="AD26" s="249"/>
      <c r="AE26" s="749"/>
      <c r="AF26" s="249"/>
      <c r="AG26" s="749"/>
      <c r="AH26" s="249"/>
      <c r="AI26" s="749"/>
      <c r="AJ26" s="249"/>
      <c r="AK26" s="749"/>
      <c r="AL26" s="249"/>
      <c r="AM26" s="749"/>
      <c r="AN26" s="249"/>
      <c r="AO26" s="749"/>
      <c r="AP26" s="249"/>
      <c r="AQ26" s="749"/>
      <c r="AR26" s="249"/>
      <c r="AS26" s="749"/>
      <c r="AT26" s="249"/>
      <c r="AU26" s="459">
        <f t="shared" si="2"/>
        <v>0</v>
      </c>
      <c r="AV26" s="460">
        <f t="shared" si="0"/>
        <v>0</v>
      </c>
      <c r="AW26" s="804" t="str">
        <f t="shared" si="1"/>
        <v>OK</v>
      </c>
      <c r="AX26" s="792">
        <f>'t1'!L26-'t3'!C26-'t3'!E26-'t3'!G26-'t3'!I26-'t3'!K26+'t3'!M26+'t3'!O26+'t3'!Q26</f>
        <v>0</v>
      </c>
      <c r="AY26" s="793">
        <f>'t1'!M26-'t3'!D26-'t3'!F26-'t3'!H26-'t3'!J26-'t3'!L26+'t3'!N26+'t3'!P26+'t3'!R26</f>
        <v>0</v>
      </c>
      <c r="AZ26" s="867">
        <f>'t1'!N26</f>
        <v>0</v>
      </c>
    </row>
    <row r="27" spans="1:52" ht="12.75" customHeight="1">
      <c r="A27" s="24" t="str">
        <f>'t1'!A27</f>
        <v>POSIZIONE ECONOMICA C4</v>
      </c>
      <c r="B27" s="151" t="str">
        <f>'t1'!B27</f>
        <v>045000</v>
      </c>
      <c r="C27" s="749"/>
      <c r="D27" s="249"/>
      <c r="E27" s="749"/>
      <c r="F27" s="249"/>
      <c r="G27" s="749"/>
      <c r="H27" s="249"/>
      <c r="I27" s="749"/>
      <c r="J27" s="249"/>
      <c r="K27" s="749"/>
      <c r="L27" s="249"/>
      <c r="M27" s="749"/>
      <c r="N27" s="249"/>
      <c r="O27" s="749"/>
      <c r="P27" s="249"/>
      <c r="Q27" s="749"/>
      <c r="R27" s="249"/>
      <c r="S27" s="749"/>
      <c r="T27" s="249"/>
      <c r="U27" s="749"/>
      <c r="V27" s="249"/>
      <c r="W27" s="749"/>
      <c r="X27" s="249"/>
      <c r="Y27" s="749"/>
      <c r="Z27" s="249"/>
      <c r="AA27" s="749"/>
      <c r="AB27" s="249"/>
      <c r="AC27" s="749"/>
      <c r="AD27" s="249"/>
      <c r="AE27" s="749"/>
      <c r="AF27" s="249"/>
      <c r="AG27" s="749"/>
      <c r="AH27" s="249"/>
      <c r="AI27" s="749"/>
      <c r="AJ27" s="249"/>
      <c r="AK27" s="749"/>
      <c r="AL27" s="249"/>
      <c r="AM27" s="749"/>
      <c r="AN27" s="249"/>
      <c r="AO27" s="749"/>
      <c r="AP27" s="249"/>
      <c r="AQ27" s="749"/>
      <c r="AR27" s="249"/>
      <c r="AS27" s="749"/>
      <c r="AT27" s="249"/>
      <c r="AU27" s="459">
        <f t="shared" si="2"/>
        <v>0</v>
      </c>
      <c r="AV27" s="460">
        <f t="shared" si="0"/>
        <v>0</v>
      </c>
      <c r="AW27" s="804" t="str">
        <f t="shared" si="1"/>
        <v>OK</v>
      </c>
      <c r="AX27" s="792">
        <f>'t1'!L27-'t3'!C27-'t3'!E27-'t3'!G27-'t3'!I27-'t3'!K27+'t3'!M27+'t3'!O27+'t3'!Q27</f>
        <v>0</v>
      </c>
      <c r="AY27" s="793">
        <f>'t1'!M27-'t3'!D27-'t3'!F27-'t3'!H27-'t3'!J27-'t3'!L27+'t3'!N27+'t3'!P27+'t3'!R27</f>
        <v>0</v>
      </c>
      <c r="AZ27" s="867">
        <f>'t1'!N27</f>
        <v>0</v>
      </c>
    </row>
    <row r="28" spans="1:52" ht="12.75" customHeight="1">
      <c r="A28" s="24" t="str">
        <f>'t1'!A28</f>
        <v>POSIZIONE ECONOMICA C3</v>
      </c>
      <c r="B28" s="151" t="str">
        <f>'t1'!B28</f>
        <v>043000</v>
      </c>
      <c r="C28" s="749"/>
      <c r="D28" s="249"/>
      <c r="E28" s="749"/>
      <c r="F28" s="249"/>
      <c r="G28" s="749"/>
      <c r="H28" s="249"/>
      <c r="I28" s="749"/>
      <c r="J28" s="249"/>
      <c r="K28" s="749"/>
      <c r="L28" s="249"/>
      <c r="M28" s="749"/>
      <c r="N28" s="249"/>
      <c r="O28" s="749"/>
      <c r="P28" s="249"/>
      <c r="Q28" s="749"/>
      <c r="R28" s="249"/>
      <c r="S28" s="749"/>
      <c r="T28" s="249"/>
      <c r="U28" s="749"/>
      <c r="V28" s="249"/>
      <c r="W28" s="749"/>
      <c r="X28" s="249"/>
      <c r="Y28" s="749"/>
      <c r="Z28" s="249"/>
      <c r="AA28" s="749"/>
      <c r="AB28" s="249"/>
      <c r="AC28" s="749"/>
      <c r="AD28" s="249"/>
      <c r="AE28" s="749"/>
      <c r="AF28" s="249"/>
      <c r="AG28" s="749"/>
      <c r="AH28" s="249"/>
      <c r="AI28" s="749"/>
      <c r="AJ28" s="249"/>
      <c r="AK28" s="749"/>
      <c r="AL28" s="249"/>
      <c r="AM28" s="749"/>
      <c r="AN28" s="249"/>
      <c r="AO28" s="749"/>
      <c r="AP28" s="249"/>
      <c r="AQ28" s="749"/>
      <c r="AR28" s="249"/>
      <c r="AS28" s="749"/>
      <c r="AT28" s="249"/>
      <c r="AU28" s="459">
        <f t="shared" si="2"/>
        <v>0</v>
      </c>
      <c r="AV28" s="460">
        <f t="shared" si="0"/>
        <v>0</v>
      </c>
      <c r="AW28" s="804" t="str">
        <f t="shared" si="1"/>
        <v>OK</v>
      </c>
      <c r="AX28" s="792">
        <f>'t1'!L28-'t3'!C28-'t3'!E28-'t3'!G28-'t3'!I28-'t3'!K28+'t3'!M28+'t3'!O28+'t3'!Q28</f>
        <v>0</v>
      </c>
      <c r="AY28" s="793">
        <f>'t1'!M28-'t3'!D28-'t3'!F28-'t3'!H28-'t3'!J28-'t3'!L28+'t3'!N28+'t3'!P28+'t3'!R28</f>
        <v>0</v>
      </c>
      <c r="AZ28" s="867">
        <f>'t1'!N28</f>
        <v>0</v>
      </c>
    </row>
    <row r="29" spans="1:52" ht="12.75" customHeight="1">
      <c r="A29" s="24" t="str">
        <f>'t1'!A29</f>
        <v>POSIZIONE ECONOMICA C2</v>
      </c>
      <c r="B29" s="151" t="str">
        <f>'t1'!B29</f>
        <v>042000</v>
      </c>
      <c r="C29" s="749"/>
      <c r="D29" s="249"/>
      <c r="E29" s="749"/>
      <c r="F29" s="249"/>
      <c r="G29" s="749"/>
      <c r="H29" s="249"/>
      <c r="I29" s="749"/>
      <c r="J29" s="249"/>
      <c r="K29" s="749"/>
      <c r="L29" s="249"/>
      <c r="M29" s="749"/>
      <c r="N29" s="249"/>
      <c r="O29" s="749"/>
      <c r="P29" s="249"/>
      <c r="Q29" s="749"/>
      <c r="R29" s="249"/>
      <c r="S29" s="749"/>
      <c r="T29" s="249"/>
      <c r="U29" s="749"/>
      <c r="V29" s="249"/>
      <c r="W29" s="749"/>
      <c r="X29" s="249"/>
      <c r="Y29" s="749"/>
      <c r="Z29" s="249"/>
      <c r="AA29" s="749"/>
      <c r="AB29" s="249"/>
      <c r="AC29" s="749"/>
      <c r="AD29" s="249"/>
      <c r="AE29" s="749"/>
      <c r="AF29" s="249"/>
      <c r="AG29" s="749"/>
      <c r="AH29" s="249"/>
      <c r="AI29" s="749"/>
      <c r="AJ29" s="249"/>
      <c r="AK29" s="749"/>
      <c r="AL29" s="249"/>
      <c r="AM29" s="749"/>
      <c r="AN29" s="249"/>
      <c r="AO29" s="749"/>
      <c r="AP29" s="249"/>
      <c r="AQ29" s="749"/>
      <c r="AR29" s="249"/>
      <c r="AS29" s="749"/>
      <c r="AT29" s="249"/>
      <c r="AU29" s="459">
        <f t="shared" si="2"/>
        <v>0</v>
      </c>
      <c r="AV29" s="460">
        <f t="shared" si="0"/>
        <v>0</v>
      </c>
      <c r="AW29" s="804" t="str">
        <f t="shared" si="1"/>
        <v>Controllare totale</v>
      </c>
      <c r="AX29" s="792">
        <f>'t1'!L29-'t3'!C29-'t3'!E29-'t3'!G29-'t3'!I29-'t3'!K29+'t3'!M29+'t3'!O29+'t3'!Q29</f>
        <v>0</v>
      </c>
      <c r="AY29" s="793">
        <f>'t1'!M29-'t3'!D29-'t3'!F29-'t3'!H29-'t3'!J29-'t3'!L29+'t3'!N29+'t3'!P29+'t3'!R29</f>
        <v>1</v>
      </c>
      <c r="AZ29" s="867">
        <f>'t1'!N29</f>
        <v>1</v>
      </c>
    </row>
    <row r="30" spans="1:52" ht="12.75" customHeight="1">
      <c r="A30" s="24" t="str">
        <f>'t1'!A30</f>
        <v>POSIZIONE ECONOMICA DI ACCESSO C1</v>
      </c>
      <c r="B30" s="151" t="str">
        <f>'t1'!B30</f>
        <v>056000</v>
      </c>
      <c r="C30" s="749"/>
      <c r="D30" s="249"/>
      <c r="E30" s="749"/>
      <c r="F30" s="249"/>
      <c r="G30" s="749"/>
      <c r="H30" s="249"/>
      <c r="I30" s="749"/>
      <c r="J30" s="249"/>
      <c r="K30" s="749"/>
      <c r="L30" s="249"/>
      <c r="M30" s="749"/>
      <c r="N30" s="249"/>
      <c r="O30" s="749"/>
      <c r="P30" s="249"/>
      <c r="Q30" s="749"/>
      <c r="R30" s="249"/>
      <c r="S30" s="749"/>
      <c r="T30" s="249"/>
      <c r="U30" s="749"/>
      <c r="V30" s="249"/>
      <c r="W30" s="749"/>
      <c r="X30" s="249"/>
      <c r="Y30" s="749"/>
      <c r="Z30" s="249"/>
      <c r="AA30" s="749"/>
      <c r="AB30" s="249"/>
      <c r="AC30" s="749"/>
      <c r="AD30" s="249"/>
      <c r="AE30" s="749"/>
      <c r="AF30" s="249"/>
      <c r="AG30" s="749"/>
      <c r="AH30" s="249"/>
      <c r="AI30" s="749"/>
      <c r="AJ30" s="249"/>
      <c r="AK30" s="749"/>
      <c r="AL30" s="249"/>
      <c r="AM30" s="749"/>
      <c r="AN30" s="249"/>
      <c r="AO30" s="749"/>
      <c r="AP30" s="249"/>
      <c r="AQ30" s="749"/>
      <c r="AR30" s="249"/>
      <c r="AS30" s="749"/>
      <c r="AT30" s="249"/>
      <c r="AU30" s="459">
        <f t="shared" si="2"/>
        <v>0</v>
      </c>
      <c r="AV30" s="460">
        <f t="shared" si="0"/>
        <v>0</v>
      </c>
      <c r="AW30" s="804" t="str">
        <f t="shared" si="1"/>
        <v>Controllare totale</v>
      </c>
      <c r="AX30" s="792">
        <f>'t1'!L30-'t3'!C30-'t3'!E30-'t3'!G30-'t3'!I30-'t3'!K30+'t3'!M30+'t3'!O30+'t3'!Q30</f>
        <v>0</v>
      </c>
      <c r="AY30" s="793">
        <f>'t1'!M30-'t3'!D30-'t3'!F30-'t3'!H30-'t3'!J30-'t3'!L30+'t3'!N30+'t3'!P30+'t3'!R30</f>
        <v>1</v>
      </c>
      <c r="AZ30" s="867">
        <f>'t1'!N30</f>
        <v>1</v>
      </c>
    </row>
    <row r="31" spans="1:52" ht="12.75" customHeight="1">
      <c r="A31" s="24" t="str">
        <f>'t1'!A31</f>
        <v>POSIZ. ECON. B7 - PROFILO ACCESSO B3</v>
      </c>
      <c r="B31" s="151" t="str">
        <f>'t1'!B31</f>
        <v>0B7A00</v>
      </c>
      <c r="C31" s="749"/>
      <c r="D31" s="249"/>
      <c r="E31" s="749"/>
      <c r="F31" s="249"/>
      <c r="G31" s="749"/>
      <c r="H31" s="249"/>
      <c r="I31" s="749"/>
      <c r="J31" s="249"/>
      <c r="K31" s="749"/>
      <c r="L31" s="249"/>
      <c r="M31" s="749"/>
      <c r="N31" s="249"/>
      <c r="O31" s="749"/>
      <c r="P31" s="249"/>
      <c r="Q31" s="749"/>
      <c r="R31" s="249"/>
      <c r="S31" s="749"/>
      <c r="T31" s="249"/>
      <c r="U31" s="749"/>
      <c r="V31" s="249"/>
      <c r="W31" s="749"/>
      <c r="X31" s="249"/>
      <c r="Y31" s="749"/>
      <c r="Z31" s="249"/>
      <c r="AA31" s="749"/>
      <c r="AB31" s="249"/>
      <c r="AC31" s="749"/>
      <c r="AD31" s="249"/>
      <c r="AE31" s="749"/>
      <c r="AF31" s="249"/>
      <c r="AG31" s="749"/>
      <c r="AH31" s="249"/>
      <c r="AI31" s="749"/>
      <c r="AJ31" s="249"/>
      <c r="AK31" s="749"/>
      <c r="AL31" s="249"/>
      <c r="AM31" s="749"/>
      <c r="AN31" s="249"/>
      <c r="AO31" s="749"/>
      <c r="AP31" s="249"/>
      <c r="AQ31" s="749"/>
      <c r="AR31" s="249"/>
      <c r="AS31" s="749"/>
      <c r="AT31" s="249"/>
      <c r="AU31" s="459">
        <f t="shared" si="2"/>
        <v>0</v>
      </c>
      <c r="AV31" s="460">
        <f t="shared" si="0"/>
        <v>0</v>
      </c>
      <c r="AW31" s="804" t="str">
        <f t="shared" si="1"/>
        <v>OK</v>
      </c>
      <c r="AX31" s="792">
        <f>'t1'!L31-'t3'!C31-'t3'!E31-'t3'!G31-'t3'!I31-'t3'!K31+'t3'!M31+'t3'!O31+'t3'!Q31</f>
        <v>0</v>
      </c>
      <c r="AY31" s="793">
        <f>'t1'!M31-'t3'!D31-'t3'!F31-'t3'!H31-'t3'!J31-'t3'!L31+'t3'!N31+'t3'!P31+'t3'!R31</f>
        <v>0</v>
      </c>
      <c r="AZ31" s="867">
        <f>'t1'!N31</f>
        <v>0</v>
      </c>
    </row>
    <row r="32" spans="1:52" ht="12.75" customHeight="1">
      <c r="A32" s="24" t="str">
        <f>'t1'!A32</f>
        <v>POSIZ. ECON. B7 - PROFILO  ACCESSO B1</v>
      </c>
      <c r="B32" s="151" t="str">
        <f>'t1'!B32</f>
        <v>0B7000</v>
      </c>
      <c r="C32" s="749"/>
      <c r="D32" s="249"/>
      <c r="E32" s="749"/>
      <c r="F32" s="249"/>
      <c r="G32" s="749"/>
      <c r="H32" s="249"/>
      <c r="I32" s="749"/>
      <c r="J32" s="249"/>
      <c r="K32" s="749"/>
      <c r="L32" s="249"/>
      <c r="M32" s="749"/>
      <c r="N32" s="249"/>
      <c r="O32" s="749"/>
      <c r="P32" s="249"/>
      <c r="Q32" s="749"/>
      <c r="R32" s="249"/>
      <c r="S32" s="749"/>
      <c r="T32" s="249"/>
      <c r="U32" s="749"/>
      <c r="V32" s="249"/>
      <c r="W32" s="749"/>
      <c r="X32" s="249"/>
      <c r="Y32" s="749"/>
      <c r="Z32" s="249"/>
      <c r="AA32" s="749"/>
      <c r="AB32" s="249"/>
      <c r="AC32" s="749"/>
      <c r="AD32" s="249"/>
      <c r="AE32" s="749"/>
      <c r="AF32" s="249"/>
      <c r="AG32" s="749"/>
      <c r="AH32" s="249"/>
      <c r="AI32" s="749"/>
      <c r="AJ32" s="249"/>
      <c r="AK32" s="749"/>
      <c r="AL32" s="249"/>
      <c r="AM32" s="749"/>
      <c r="AN32" s="249"/>
      <c r="AO32" s="749"/>
      <c r="AP32" s="249"/>
      <c r="AQ32" s="749"/>
      <c r="AR32" s="249"/>
      <c r="AS32" s="749"/>
      <c r="AT32" s="249"/>
      <c r="AU32" s="459">
        <f t="shared" si="2"/>
        <v>0</v>
      </c>
      <c r="AV32" s="460">
        <f t="shared" si="0"/>
        <v>0</v>
      </c>
      <c r="AW32" s="804" t="str">
        <f t="shared" si="1"/>
        <v>OK</v>
      </c>
      <c r="AX32" s="792">
        <f>'t1'!L32-'t3'!C32-'t3'!E32-'t3'!G32-'t3'!I32-'t3'!K32+'t3'!M32+'t3'!O32+'t3'!Q32</f>
        <v>0</v>
      </c>
      <c r="AY32" s="793">
        <f>'t1'!M32-'t3'!D32-'t3'!F32-'t3'!H32-'t3'!J32-'t3'!L32+'t3'!N32+'t3'!P32+'t3'!R32</f>
        <v>0</v>
      </c>
      <c r="AZ32" s="867">
        <f>'t1'!N32</f>
        <v>0</v>
      </c>
    </row>
    <row r="33" spans="1:52" ht="12.75" customHeight="1">
      <c r="A33" s="24" t="str">
        <f>'t1'!A33</f>
        <v>POSIZ. ECON. B6 PROFILI ACCESSO B3</v>
      </c>
      <c r="B33" s="151" t="str">
        <f>'t1'!B33</f>
        <v>038490</v>
      </c>
      <c r="C33" s="749"/>
      <c r="D33" s="249"/>
      <c r="E33" s="749"/>
      <c r="F33" s="249"/>
      <c r="G33" s="749"/>
      <c r="H33" s="249"/>
      <c r="I33" s="749"/>
      <c r="J33" s="249"/>
      <c r="K33" s="749"/>
      <c r="L33" s="249"/>
      <c r="M33" s="749"/>
      <c r="N33" s="249"/>
      <c r="O33" s="749"/>
      <c r="P33" s="249"/>
      <c r="Q33" s="749"/>
      <c r="R33" s="249"/>
      <c r="S33" s="749"/>
      <c r="T33" s="249"/>
      <c r="U33" s="749"/>
      <c r="V33" s="249"/>
      <c r="W33" s="749"/>
      <c r="X33" s="249"/>
      <c r="Y33" s="749"/>
      <c r="Z33" s="249"/>
      <c r="AA33" s="749"/>
      <c r="AB33" s="249"/>
      <c r="AC33" s="749"/>
      <c r="AD33" s="249"/>
      <c r="AE33" s="749"/>
      <c r="AF33" s="249"/>
      <c r="AG33" s="749"/>
      <c r="AH33" s="249"/>
      <c r="AI33" s="749"/>
      <c r="AJ33" s="249"/>
      <c r="AK33" s="749"/>
      <c r="AL33" s="249"/>
      <c r="AM33" s="749"/>
      <c r="AN33" s="249"/>
      <c r="AO33" s="749"/>
      <c r="AP33" s="249"/>
      <c r="AQ33" s="749"/>
      <c r="AR33" s="249"/>
      <c r="AS33" s="749"/>
      <c r="AT33" s="249"/>
      <c r="AU33" s="459">
        <f t="shared" si="2"/>
        <v>0</v>
      </c>
      <c r="AV33" s="460">
        <f t="shared" si="0"/>
        <v>0</v>
      </c>
      <c r="AW33" s="804" t="str">
        <f t="shared" si="1"/>
        <v>OK</v>
      </c>
      <c r="AX33" s="792">
        <f>'t1'!L33-'t3'!C33-'t3'!E33-'t3'!G33-'t3'!I33-'t3'!K33+'t3'!M33+'t3'!O33+'t3'!Q33</f>
        <v>0</v>
      </c>
      <c r="AY33" s="793">
        <f>'t1'!M33-'t3'!D33-'t3'!F33-'t3'!H33-'t3'!J33-'t3'!L33+'t3'!N33+'t3'!P33+'t3'!R33</f>
        <v>0</v>
      </c>
      <c r="AZ33" s="867">
        <f>'t1'!N33</f>
        <v>0</v>
      </c>
    </row>
    <row r="34" spans="1:52" ht="12.75" customHeight="1">
      <c r="A34" s="24" t="str">
        <f>'t1'!A34</f>
        <v>POSIZ. ECON. B6 PROFILI ACCESSO B1</v>
      </c>
      <c r="B34" s="151" t="str">
        <f>'t1'!B34</f>
        <v>038491</v>
      </c>
      <c r="C34" s="749"/>
      <c r="D34" s="249"/>
      <c r="E34" s="749"/>
      <c r="F34" s="249"/>
      <c r="G34" s="749"/>
      <c r="H34" s="249"/>
      <c r="I34" s="749"/>
      <c r="J34" s="249"/>
      <c r="K34" s="749"/>
      <c r="L34" s="249"/>
      <c r="M34" s="749"/>
      <c r="N34" s="249"/>
      <c r="O34" s="749"/>
      <c r="P34" s="249"/>
      <c r="Q34" s="749"/>
      <c r="R34" s="249"/>
      <c r="S34" s="749"/>
      <c r="T34" s="249"/>
      <c r="U34" s="749"/>
      <c r="V34" s="249"/>
      <c r="W34" s="749"/>
      <c r="X34" s="249"/>
      <c r="Y34" s="749"/>
      <c r="Z34" s="249"/>
      <c r="AA34" s="749"/>
      <c r="AB34" s="249"/>
      <c r="AC34" s="749"/>
      <c r="AD34" s="249"/>
      <c r="AE34" s="749"/>
      <c r="AF34" s="249"/>
      <c r="AG34" s="749"/>
      <c r="AH34" s="249"/>
      <c r="AI34" s="749"/>
      <c r="AJ34" s="249"/>
      <c r="AK34" s="749"/>
      <c r="AL34" s="249"/>
      <c r="AM34" s="749"/>
      <c r="AN34" s="249"/>
      <c r="AO34" s="749"/>
      <c r="AP34" s="249"/>
      <c r="AQ34" s="749"/>
      <c r="AR34" s="249"/>
      <c r="AS34" s="749"/>
      <c r="AT34" s="249"/>
      <c r="AU34" s="459">
        <f t="shared" si="2"/>
        <v>0</v>
      </c>
      <c r="AV34" s="460">
        <f t="shared" si="0"/>
        <v>0</v>
      </c>
      <c r="AW34" s="804" t="str">
        <f t="shared" si="1"/>
        <v>OK</v>
      </c>
      <c r="AX34" s="792">
        <f>'t1'!L34-'t3'!C34-'t3'!E34-'t3'!G34-'t3'!I34-'t3'!K34+'t3'!M34+'t3'!O34+'t3'!Q34</f>
        <v>0</v>
      </c>
      <c r="AY34" s="793">
        <f>'t1'!M34-'t3'!D34-'t3'!F34-'t3'!H34-'t3'!J34-'t3'!L34+'t3'!N34+'t3'!P34+'t3'!R34</f>
        <v>0</v>
      </c>
      <c r="AZ34" s="867">
        <f>'t1'!N34</f>
        <v>0</v>
      </c>
    </row>
    <row r="35" spans="1:52" ht="12.75" customHeight="1">
      <c r="A35" s="24" t="str">
        <f>'t1'!A35</f>
        <v>POSIZ. ECON. B5 PROFILI ACCESSO B3</v>
      </c>
      <c r="B35" s="151" t="str">
        <f>'t1'!B35</f>
        <v>037492</v>
      </c>
      <c r="C35" s="749"/>
      <c r="D35" s="249"/>
      <c r="E35" s="749"/>
      <c r="F35" s="249"/>
      <c r="G35" s="749"/>
      <c r="H35" s="249"/>
      <c r="I35" s="749"/>
      <c r="J35" s="249"/>
      <c r="K35" s="749"/>
      <c r="L35" s="249"/>
      <c r="M35" s="749"/>
      <c r="N35" s="249"/>
      <c r="O35" s="749"/>
      <c r="P35" s="249"/>
      <c r="Q35" s="749"/>
      <c r="R35" s="249"/>
      <c r="S35" s="749"/>
      <c r="T35" s="249"/>
      <c r="U35" s="749"/>
      <c r="V35" s="249"/>
      <c r="W35" s="749"/>
      <c r="X35" s="249"/>
      <c r="Y35" s="749"/>
      <c r="Z35" s="249"/>
      <c r="AA35" s="749"/>
      <c r="AB35" s="249"/>
      <c r="AC35" s="749"/>
      <c r="AD35" s="249"/>
      <c r="AE35" s="749"/>
      <c r="AF35" s="249"/>
      <c r="AG35" s="749"/>
      <c r="AH35" s="249"/>
      <c r="AI35" s="749"/>
      <c r="AJ35" s="249"/>
      <c r="AK35" s="749"/>
      <c r="AL35" s="249"/>
      <c r="AM35" s="749"/>
      <c r="AN35" s="249"/>
      <c r="AO35" s="749"/>
      <c r="AP35" s="249"/>
      <c r="AQ35" s="749"/>
      <c r="AR35" s="249"/>
      <c r="AS35" s="749"/>
      <c r="AT35" s="249"/>
      <c r="AU35" s="459">
        <f t="shared" si="2"/>
        <v>0</v>
      </c>
      <c r="AV35" s="460">
        <f t="shared" si="0"/>
        <v>0</v>
      </c>
      <c r="AW35" s="804" t="str">
        <f t="shared" si="1"/>
        <v>OK</v>
      </c>
      <c r="AX35" s="792">
        <f>'t1'!L35-'t3'!C35-'t3'!E35-'t3'!G35-'t3'!I35-'t3'!K35+'t3'!M35+'t3'!O35+'t3'!Q35</f>
        <v>0</v>
      </c>
      <c r="AY35" s="793">
        <f>'t1'!M35-'t3'!D35-'t3'!F35-'t3'!H35-'t3'!J35-'t3'!L35+'t3'!N35+'t3'!P35+'t3'!R35</f>
        <v>0</v>
      </c>
      <c r="AZ35" s="867">
        <f>'t1'!N35</f>
        <v>0</v>
      </c>
    </row>
    <row r="36" spans="1:52" ht="12.75" customHeight="1">
      <c r="A36" s="24" t="str">
        <f>'t1'!A36</f>
        <v>POSIZ. ECON. B5 PROFILI ACCESSO B1</v>
      </c>
      <c r="B36" s="151" t="str">
        <f>'t1'!B36</f>
        <v>037493</v>
      </c>
      <c r="C36" s="749"/>
      <c r="D36" s="249"/>
      <c r="E36" s="749"/>
      <c r="F36" s="249"/>
      <c r="G36" s="749"/>
      <c r="H36" s="249"/>
      <c r="I36" s="749"/>
      <c r="J36" s="249"/>
      <c r="K36" s="749"/>
      <c r="L36" s="249"/>
      <c r="M36" s="749"/>
      <c r="N36" s="249"/>
      <c r="O36" s="749"/>
      <c r="P36" s="249"/>
      <c r="Q36" s="749"/>
      <c r="R36" s="249"/>
      <c r="S36" s="749"/>
      <c r="T36" s="249"/>
      <c r="U36" s="749"/>
      <c r="V36" s="249"/>
      <c r="W36" s="749"/>
      <c r="X36" s="249"/>
      <c r="Y36" s="749"/>
      <c r="Z36" s="249"/>
      <c r="AA36" s="749"/>
      <c r="AB36" s="249"/>
      <c r="AC36" s="749"/>
      <c r="AD36" s="249"/>
      <c r="AE36" s="749"/>
      <c r="AF36" s="249"/>
      <c r="AG36" s="749"/>
      <c r="AH36" s="249"/>
      <c r="AI36" s="749"/>
      <c r="AJ36" s="249"/>
      <c r="AK36" s="749"/>
      <c r="AL36" s="249"/>
      <c r="AM36" s="749"/>
      <c r="AN36" s="249"/>
      <c r="AO36" s="749"/>
      <c r="AP36" s="249"/>
      <c r="AQ36" s="749"/>
      <c r="AR36" s="249"/>
      <c r="AS36" s="749"/>
      <c r="AT36" s="249"/>
      <c r="AU36" s="459">
        <f t="shared" si="2"/>
        <v>0</v>
      </c>
      <c r="AV36" s="460">
        <f t="shared" si="0"/>
        <v>0</v>
      </c>
      <c r="AW36" s="804" t="str">
        <f t="shared" si="1"/>
        <v>OK</v>
      </c>
      <c r="AX36" s="792">
        <f>'t1'!L36-'t3'!C36-'t3'!E36-'t3'!G36-'t3'!I36-'t3'!K36+'t3'!M36+'t3'!O36+'t3'!Q36</f>
        <v>0</v>
      </c>
      <c r="AY36" s="793">
        <f>'t1'!M36-'t3'!D36-'t3'!F36-'t3'!H36-'t3'!J36-'t3'!L36+'t3'!N36+'t3'!P36+'t3'!R36</f>
        <v>0</v>
      </c>
      <c r="AZ36" s="867">
        <f>'t1'!N36</f>
        <v>0</v>
      </c>
    </row>
    <row r="37" spans="1:52" ht="12.75" customHeight="1">
      <c r="A37" s="24" t="str">
        <f>'t1'!A37</f>
        <v>POSIZ. ECON. B4 PROFILI ACCESSO B3</v>
      </c>
      <c r="B37" s="151" t="str">
        <f>'t1'!B37</f>
        <v>036494</v>
      </c>
      <c r="C37" s="749"/>
      <c r="D37" s="249"/>
      <c r="E37" s="749"/>
      <c r="F37" s="249"/>
      <c r="G37" s="749"/>
      <c r="H37" s="249"/>
      <c r="I37" s="749"/>
      <c r="J37" s="249"/>
      <c r="K37" s="749"/>
      <c r="L37" s="249"/>
      <c r="M37" s="749"/>
      <c r="N37" s="249"/>
      <c r="O37" s="749"/>
      <c r="P37" s="249"/>
      <c r="Q37" s="749"/>
      <c r="R37" s="249"/>
      <c r="S37" s="749"/>
      <c r="T37" s="249"/>
      <c r="U37" s="749"/>
      <c r="V37" s="249"/>
      <c r="W37" s="749"/>
      <c r="X37" s="249"/>
      <c r="Y37" s="749"/>
      <c r="Z37" s="249"/>
      <c r="AA37" s="749"/>
      <c r="AB37" s="249"/>
      <c r="AC37" s="749"/>
      <c r="AD37" s="249"/>
      <c r="AE37" s="749"/>
      <c r="AF37" s="249"/>
      <c r="AG37" s="749"/>
      <c r="AH37" s="249"/>
      <c r="AI37" s="749"/>
      <c r="AJ37" s="249"/>
      <c r="AK37" s="749"/>
      <c r="AL37" s="249"/>
      <c r="AM37" s="749"/>
      <c r="AN37" s="249"/>
      <c r="AO37" s="749"/>
      <c r="AP37" s="249"/>
      <c r="AQ37" s="749"/>
      <c r="AR37" s="249"/>
      <c r="AS37" s="749"/>
      <c r="AT37" s="249"/>
      <c r="AU37" s="459">
        <f t="shared" si="2"/>
        <v>0</v>
      </c>
      <c r="AV37" s="460">
        <f t="shared" si="0"/>
        <v>0</v>
      </c>
      <c r="AW37" s="804" t="str">
        <f t="shared" si="1"/>
        <v>OK</v>
      </c>
      <c r="AX37" s="792">
        <f>'t1'!L37-'t3'!C37-'t3'!E37-'t3'!G37-'t3'!I37-'t3'!K37+'t3'!M37+'t3'!O37+'t3'!Q37</f>
        <v>0</v>
      </c>
      <c r="AY37" s="793">
        <f>'t1'!M37-'t3'!D37-'t3'!F37-'t3'!H37-'t3'!J37-'t3'!L37+'t3'!N37+'t3'!P37+'t3'!R37</f>
        <v>0</v>
      </c>
      <c r="AZ37" s="867">
        <f>'t1'!N37</f>
        <v>0</v>
      </c>
    </row>
    <row r="38" spans="1:52" ht="12.75" customHeight="1">
      <c r="A38" s="24" t="str">
        <f>'t1'!A38</f>
        <v>POSIZ. ECON. B4 PROFILI ACCESSO B1</v>
      </c>
      <c r="B38" s="151" t="str">
        <f>'t1'!B38</f>
        <v>036495</v>
      </c>
      <c r="C38" s="749"/>
      <c r="D38" s="249"/>
      <c r="E38" s="749"/>
      <c r="F38" s="249"/>
      <c r="G38" s="749"/>
      <c r="H38" s="249"/>
      <c r="I38" s="749"/>
      <c r="J38" s="249"/>
      <c r="K38" s="749"/>
      <c r="L38" s="249"/>
      <c r="M38" s="749"/>
      <c r="N38" s="249"/>
      <c r="O38" s="749"/>
      <c r="P38" s="249"/>
      <c r="Q38" s="749"/>
      <c r="R38" s="249"/>
      <c r="S38" s="749"/>
      <c r="T38" s="249"/>
      <c r="U38" s="749"/>
      <c r="V38" s="249"/>
      <c r="W38" s="749"/>
      <c r="X38" s="249"/>
      <c r="Y38" s="749"/>
      <c r="Z38" s="249"/>
      <c r="AA38" s="749"/>
      <c r="AB38" s="249"/>
      <c r="AC38" s="749"/>
      <c r="AD38" s="249"/>
      <c r="AE38" s="749"/>
      <c r="AF38" s="249"/>
      <c r="AG38" s="749"/>
      <c r="AH38" s="249"/>
      <c r="AI38" s="749"/>
      <c r="AJ38" s="249"/>
      <c r="AK38" s="749"/>
      <c r="AL38" s="249"/>
      <c r="AM38" s="749"/>
      <c r="AN38" s="249"/>
      <c r="AO38" s="749"/>
      <c r="AP38" s="249"/>
      <c r="AQ38" s="749"/>
      <c r="AR38" s="249"/>
      <c r="AS38" s="749"/>
      <c r="AT38" s="249"/>
      <c r="AU38" s="459">
        <f t="shared" si="2"/>
        <v>0</v>
      </c>
      <c r="AV38" s="460">
        <f t="shared" si="0"/>
        <v>0</v>
      </c>
      <c r="AW38" s="804" t="str">
        <f t="shared" si="1"/>
        <v>OK</v>
      </c>
      <c r="AX38" s="792">
        <f>'t1'!L38-'t3'!C38-'t3'!E38-'t3'!G38-'t3'!I38-'t3'!K38+'t3'!M38+'t3'!O38+'t3'!Q38</f>
        <v>0</v>
      </c>
      <c r="AY38" s="793">
        <f>'t1'!M38-'t3'!D38-'t3'!F38-'t3'!H38-'t3'!J38-'t3'!L38+'t3'!N38+'t3'!P38+'t3'!R38</f>
        <v>0</v>
      </c>
      <c r="AZ38" s="867">
        <f>'t1'!N38</f>
        <v>0</v>
      </c>
    </row>
    <row r="39" spans="1:52" ht="12.75" customHeight="1">
      <c r="A39" s="24" t="str">
        <f>'t1'!A39</f>
        <v>POSIZIONE ECONOMICA DI ACCESSO B3</v>
      </c>
      <c r="B39" s="151" t="str">
        <f>'t1'!B39</f>
        <v>055000</v>
      </c>
      <c r="C39" s="749"/>
      <c r="D39" s="249"/>
      <c r="E39" s="749"/>
      <c r="F39" s="249"/>
      <c r="G39" s="749"/>
      <c r="H39" s="249"/>
      <c r="I39" s="749"/>
      <c r="J39" s="249"/>
      <c r="K39" s="749"/>
      <c r="L39" s="249"/>
      <c r="M39" s="749"/>
      <c r="N39" s="249"/>
      <c r="O39" s="749"/>
      <c r="P39" s="249"/>
      <c r="Q39" s="749"/>
      <c r="R39" s="249"/>
      <c r="S39" s="749"/>
      <c r="T39" s="249"/>
      <c r="U39" s="749"/>
      <c r="V39" s="249"/>
      <c r="W39" s="749"/>
      <c r="X39" s="249"/>
      <c r="Y39" s="749"/>
      <c r="Z39" s="249"/>
      <c r="AA39" s="749"/>
      <c r="AB39" s="249"/>
      <c r="AC39" s="749"/>
      <c r="AD39" s="249"/>
      <c r="AE39" s="749"/>
      <c r="AF39" s="249"/>
      <c r="AG39" s="749"/>
      <c r="AH39" s="249"/>
      <c r="AI39" s="749"/>
      <c r="AJ39" s="249"/>
      <c r="AK39" s="749"/>
      <c r="AL39" s="249"/>
      <c r="AM39" s="749"/>
      <c r="AN39" s="249"/>
      <c r="AO39" s="749"/>
      <c r="AP39" s="249"/>
      <c r="AQ39" s="749"/>
      <c r="AR39" s="249"/>
      <c r="AS39" s="749"/>
      <c r="AT39" s="249"/>
      <c r="AU39" s="459">
        <f t="shared" si="2"/>
        <v>0</v>
      </c>
      <c r="AV39" s="460">
        <f t="shared" si="0"/>
        <v>0</v>
      </c>
      <c r="AW39" s="804" t="str">
        <f t="shared" si="1"/>
        <v>OK</v>
      </c>
      <c r="AX39" s="792">
        <f>'t1'!L39-'t3'!C39-'t3'!E39-'t3'!G39-'t3'!I39-'t3'!K39+'t3'!M39+'t3'!O39+'t3'!Q39</f>
        <v>0</v>
      </c>
      <c r="AY39" s="793">
        <f>'t1'!M39-'t3'!D39-'t3'!F39-'t3'!H39-'t3'!J39-'t3'!L39+'t3'!N39+'t3'!P39+'t3'!R39</f>
        <v>0</v>
      </c>
      <c r="AZ39" s="867">
        <f>'t1'!N39</f>
        <v>0</v>
      </c>
    </row>
    <row r="40" spans="1:52" ht="12.75" customHeight="1">
      <c r="A40" s="24" t="str">
        <f>'t1'!A40</f>
        <v>POSIZIONE ECONOMICA B3</v>
      </c>
      <c r="B40" s="151" t="str">
        <f>'t1'!B40</f>
        <v>034000</v>
      </c>
      <c r="C40" s="749"/>
      <c r="D40" s="249"/>
      <c r="E40" s="749"/>
      <c r="F40" s="249"/>
      <c r="G40" s="749"/>
      <c r="H40" s="249"/>
      <c r="I40" s="749"/>
      <c r="J40" s="249"/>
      <c r="K40" s="749"/>
      <c r="L40" s="249"/>
      <c r="M40" s="749"/>
      <c r="N40" s="249"/>
      <c r="O40" s="749"/>
      <c r="P40" s="249"/>
      <c r="Q40" s="749"/>
      <c r="R40" s="249"/>
      <c r="S40" s="749"/>
      <c r="T40" s="249"/>
      <c r="U40" s="749"/>
      <c r="V40" s="249"/>
      <c r="W40" s="749"/>
      <c r="X40" s="249"/>
      <c r="Y40" s="749"/>
      <c r="Z40" s="249"/>
      <c r="AA40" s="749"/>
      <c r="AB40" s="249"/>
      <c r="AC40" s="749"/>
      <c r="AD40" s="249"/>
      <c r="AE40" s="749"/>
      <c r="AF40" s="249"/>
      <c r="AG40" s="749"/>
      <c r="AH40" s="249"/>
      <c r="AI40" s="749"/>
      <c r="AJ40" s="249"/>
      <c r="AK40" s="749"/>
      <c r="AL40" s="249"/>
      <c r="AM40" s="749"/>
      <c r="AN40" s="249"/>
      <c r="AO40" s="749"/>
      <c r="AP40" s="249"/>
      <c r="AQ40" s="749"/>
      <c r="AR40" s="249"/>
      <c r="AS40" s="749"/>
      <c r="AT40" s="249"/>
      <c r="AU40" s="459">
        <f t="shared" si="2"/>
        <v>0</v>
      </c>
      <c r="AV40" s="460">
        <f t="shared" si="0"/>
        <v>0</v>
      </c>
      <c r="AW40" s="804" t="str">
        <f t="shared" si="1"/>
        <v>OK</v>
      </c>
      <c r="AX40" s="792">
        <f>'t1'!L40-'t3'!C40-'t3'!E40-'t3'!G40-'t3'!I40-'t3'!K40+'t3'!M40+'t3'!O40+'t3'!Q40</f>
        <v>0</v>
      </c>
      <c r="AY40" s="793">
        <f>'t1'!M40-'t3'!D40-'t3'!F40-'t3'!H40-'t3'!J40-'t3'!L40+'t3'!N40+'t3'!P40+'t3'!R40</f>
        <v>0</v>
      </c>
      <c r="AZ40" s="867">
        <f>'t1'!N40</f>
        <v>0</v>
      </c>
    </row>
    <row r="41" spans="1:52" ht="12.75" customHeight="1">
      <c r="A41" s="24" t="str">
        <f>'t1'!A41</f>
        <v>POSIZIONE ECONOMICA B2</v>
      </c>
      <c r="B41" s="151" t="str">
        <f>'t1'!B41</f>
        <v>032000</v>
      </c>
      <c r="C41" s="749"/>
      <c r="D41" s="249"/>
      <c r="E41" s="749"/>
      <c r="F41" s="249"/>
      <c r="G41" s="749"/>
      <c r="H41" s="249"/>
      <c r="I41" s="749"/>
      <c r="J41" s="249"/>
      <c r="K41" s="749"/>
      <c r="L41" s="249"/>
      <c r="M41" s="749"/>
      <c r="N41" s="249"/>
      <c r="O41" s="749"/>
      <c r="P41" s="249"/>
      <c r="Q41" s="749"/>
      <c r="R41" s="249"/>
      <c r="S41" s="749"/>
      <c r="T41" s="249"/>
      <c r="U41" s="749"/>
      <c r="V41" s="249"/>
      <c r="W41" s="749"/>
      <c r="X41" s="249"/>
      <c r="Y41" s="749"/>
      <c r="Z41" s="249"/>
      <c r="AA41" s="749"/>
      <c r="AB41" s="249"/>
      <c r="AC41" s="749"/>
      <c r="AD41" s="249"/>
      <c r="AE41" s="749"/>
      <c r="AF41" s="249"/>
      <c r="AG41" s="749"/>
      <c r="AH41" s="249"/>
      <c r="AI41" s="749"/>
      <c r="AJ41" s="249"/>
      <c r="AK41" s="749"/>
      <c r="AL41" s="249"/>
      <c r="AM41" s="749"/>
      <c r="AN41" s="249"/>
      <c r="AO41" s="749"/>
      <c r="AP41" s="249"/>
      <c r="AQ41" s="749"/>
      <c r="AR41" s="249"/>
      <c r="AS41" s="749"/>
      <c r="AT41" s="249"/>
      <c r="AU41" s="459">
        <f t="shared" ref="AU41:AU49" si="3">SUM(S41,U41,W41,Y41,C41,E41,G41,I41,K41,M41,O41,Q41,AA41,AC41,AE41,AG41,AI41,AK41,AM41,AO41,AQ41,AS41)</f>
        <v>0</v>
      </c>
      <c r="AV41" s="460">
        <f t="shared" ref="AV41:AV49" si="4">SUM(T41,V41,X41,Z41,D41,F41,H41,J41,L41,N41,P41,R41,AB41,AD41,AF41,AH41,AJ41,AL41,AN41,AP41,AR41,AT41)</f>
        <v>0</v>
      </c>
      <c r="AW41" s="804" t="str">
        <f t="shared" si="1"/>
        <v>OK</v>
      </c>
      <c r="AX41" s="792">
        <f>'t1'!L41-'t3'!C41-'t3'!E41-'t3'!G41-'t3'!I41-'t3'!K41+'t3'!M41+'t3'!O41+'t3'!Q41</f>
        <v>0</v>
      </c>
      <c r="AY41" s="793">
        <f>'t1'!M41-'t3'!D41-'t3'!F41-'t3'!H41-'t3'!J41-'t3'!L41+'t3'!N41+'t3'!P41+'t3'!R41</f>
        <v>0</v>
      </c>
      <c r="AZ41" s="867">
        <f>'t1'!N41</f>
        <v>0</v>
      </c>
    </row>
    <row r="42" spans="1:52" ht="12.75" customHeight="1">
      <c r="A42" s="24" t="str">
        <f>'t1'!A42</f>
        <v>POSIZIONE ECONOMICA DI ACCESSO B1</v>
      </c>
      <c r="B42" s="151" t="str">
        <f>'t1'!B42</f>
        <v>054000</v>
      </c>
      <c r="C42" s="749"/>
      <c r="D42" s="249"/>
      <c r="E42" s="749"/>
      <c r="F42" s="249"/>
      <c r="G42" s="749"/>
      <c r="H42" s="249"/>
      <c r="I42" s="749"/>
      <c r="J42" s="249"/>
      <c r="K42" s="749"/>
      <c r="L42" s="249"/>
      <c r="M42" s="749"/>
      <c r="N42" s="249"/>
      <c r="O42" s="749"/>
      <c r="P42" s="249"/>
      <c r="Q42" s="749"/>
      <c r="R42" s="249"/>
      <c r="S42" s="749"/>
      <c r="T42" s="249"/>
      <c r="U42" s="749"/>
      <c r="V42" s="249"/>
      <c r="W42" s="749"/>
      <c r="X42" s="249"/>
      <c r="Y42" s="749"/>
      <c r="Z42" s="249"/>
      <c r="AA42" s="749"/>
      <c r="AB42" s="249"/>
      <c r="AC42" s="749"/>
      <c r="AD42" s="249"/>
      <c r="AE42" s="749"/>
      <c r="AF42" s="249"/>
      <c r="AG42" s="749"/>
      <c r="AH42" s="249"/>
      <c r="AI42" s="749"/>
      <c r="AJ42" s="249"/>
      <c r="AK42" s="749"/>
      <c r="AL42" s="249"/>
      <c r="AM42" s="749"/>
      <c r="AN42" s="249"/>
      <c r="AO42" s="749"/>
      <c r="AP42" s="249"/>
      <c r="AQ42" s="749"/>
      <c r="AR42" s="249"/>
      <c r="AS42" s="749"/>
      <c r="AT42" s="249"/>
      <c r="AU42" s="459">
        <f t="shared" si="3"/>
        <v>0</v>
      </c>
      <c r="AV42" s="460">
        <f t="shared" si="4"/>
        <v>0</v>
      </c>
      <c r="AW42" s="804" t="str">
        <f t="shared" si="1"/>
        <v>OK</v>
      </c>
      <c r="AX42" s="792">
        <f>'t1'!L42-'t3'!C42-'t3'!E42-'t3'!G42-'t3'!I42-'t3'!K42+'t3'!M42+'t3'!O42+'t3'!Q42</f>
        <v>0</v>
      </c>
      <c r="AY42" s="793">
        <f>'t1'!M42-'t3'!D42-'t3'!F42-'t3'!H42-'t3'!J42-'t3'!L42+'t3'!N42+'t3'!P42+'t3'!R42</f>
        <v>0</v>
      </c>
      <c r="AZ42" s="867">
        <f>'t1'!N42</f>
        <v>0</v>
      </c>
    </row>
    <row r="43" spans="1:52" ht="12.75" customHeight="1">
      <c r="A43" s="24" t="str">
        <f>'t1'!A43</f>
        <v>POSIZIONE ECONOMICA A5</v>
      </c>
      <c r="B43" s="151" t="str">
        <f>'t1'!B43</f>
        <v>0A5000</v>
      </c>
      <c r="C43" s="749"/>
      <c r="D43" s="249"/>
      <c r="E43" s="749"/>
      <c r="F43" s="249"/>
      <c r="G43" s="749"/>
      <c r="H43" s="249"/>
      <c r="I43" s="749"/>
      <c r="J43" s="249"/>
      <c r="K43" s="749"/>
      <c r="L43" s="249"/>
      <c r="M43" s="749"/>
      <c r="N43" s="249"/>
      <c r="O43" s="749"/>
      <c r="P43" s="249"/>
      <c r="Q43" s="749"/>
      <c r="R43" s="249"/>
      <c r="S43" s="749"/>
      <c r="T43" s="249"/>
      <c r="U43" s="749"/>
      <c r="V43" s="249"/>
      <c r="W43" s="749"/>
      <c r="X43" s="249"/>
      <c r="Y43" s="749"/>
      <c r="Z43" s="249"/>
      <c r="AA43" s="749"/>
      <c r="AB43" s="249"/>
      <c r="AC43" s="749"/>
      <c r="AD43" s="249"/>
      <c r="AE43" s="749"/>
      <c r="AF43" s="249"/>
      <c r="AG43" s="749"/>
      <c r="AH43" s="249"/>
      <c r="AI43" s="749"/>
      <c r="AJ43" s="249"/>
      <c r="AK43" s="749"/>
      <c r="AL43" s="249"/>
      <c r="AM43" s="749"/>
      <c r="AN43" s="249"/>
      <c r="AO43" s="749"/>
      <c r="AP43" s="249"/>
      <c r="AQ43" s="749"/>
      <c r="AR43" s="249"/>
      <c r="AS43" s="749"/>
      <c r="AT43" s="249"/>
      <c r="AU43" s="459">
        <f t="shared" si="3"/>
        <v>0</v>
      </c>
      <c r="AV43" s="460">
        <f t="shared" si="4"/>
        <v>0</v>
      </c>
      <c r="AW43" s="804" t="str">
        <f t="shared" si="1"/>
        <v>OK</v>
      </c>
      <c r="AX43" s="792">
        <f>'t1'!L43-'t3'!C43-'t3'!E43-'t3'!G43-'t3'!I43-'t3'!K43+'t3'!M43+'t3'!O43+'t3'!Q43</f>
        <v>0</v>
      </c>
      <c r="AY43" s="793">
        <f>'t1'!M43-'t3'!D43-'t3'!F43-'t3'!H43-'t3'!J43-'t3'!L43+'t3'!N43+'t3'!P43+'t3'!R43</f>
        <v>0</v>
      </c>
      <c r="AZ43" s="867">
        <f>'t1'!N43</f>
        <v>0</v>
      </c>
    </row>
    <row r="44" spans="1:52" ht="12.75" customHeight="1">
      <c r="A44" s="24" t="str">
        <f>'t1'!A44</f>
        <v>POSIZIONE ECONOMICA A4</v>
      </c>
      <c r="B44" s="151" t="str">
        <f>'t1'!B44</f>
        <v>028000</v>
      </c>
      <c r="C44" s="749"/>
      <c r="D44" s="249"/>
      <c r="E44" s="749"/>
      <c r="F44" s="249"/>
      <c r="G44" s="749"/>
      <c r="H44" s="249"/>
      <c r="I44" s="749"/>
      <c r="J44" s="249"/>
      <c r="K44" s="749"/>
      <c r="L44" s="249"/>
      <c r="M44" s="749"/>
      <c r="N44" s="249"/>
      <c r="O44" s="749"/>
      <c r="P44" s="249"/>
      <c r="Q44" s="749"/>
      <c r="R44" s="249"/>
      <c r="S44" s="749"/>
      <c r="T44" s="249"/>
      <c r="U44" s="749"/>
      <c r="V44" s="249"/>
      <c r="W44" s="749"/>
      <c r="X44" s="249"/>
      <c r="Y44" s="749"/>
      <c r="Z44" s="249"/>
      <c r="AA44" s="749"/>
      <c r="AB44" s="249"/>
      <c r="AC44" s="749"/>
      <c r="AD44" s="249"/>
      <c r="AE44" s="749"/>
      <c r="AF44" s="249"/>
      <c r="AG44" s="749"/>
      <c r="AH44" s="249"/>
      <c r="AI44" s="749"/>
      <c r="AJ44" s="249"/>
      <c r="AK44" s="749"/>
      <c r="AL44" s="249"/>
      <c r="AM44" s="749"/>
      <c r="AN44" s="249"/>
      <c r="AO44" s="749"/>
      <c r="AP44" s="249"/>
      <c r="AQ44" s="749"/>
      <c r="AR44" s="249"/>
      <c r="AS44" s="749"/>
      <c r="AT44" s="249"/>
      <c r="AU44" s="459">
        <f t="shared" si="3"/>
        <v>0</v>
      </c>
      <c r="AV44" s="460">
        <f t="shared" si="4"/>
        <v>0</v>
      </c>
      <c r="AW44" s="804" t="str">
        <f t="shared" si="1"/>
        <v>OK</v>
      </c>
      <c r="AX44" s="792">
        <f>'t1'!L44-'t3'!C44-'t3'!E44-'t3'!G44-'t3'!I44-'t3'!K44+'t3'!M44+'t3'!O44+'t3'!Q44</f>
        <v>0</v>
      </c>
      <c r="AY44" s="793">
        <f>'t1'!M44-'t3'!D44-'t3'!F44-'t3'!H44-'t3'!J44-'t3'!L44+'t3'!N44+'t3'!P44+'t3'!R44</f>
        <v>0</v>
      </c>
      <c r="AZ44" s="867">
        <f>'t1'!N44</f>
        <v>0</v>
      </c>
    </row>
    <row r="45" spans="1:52" ht="12.75" customHeight="1">
      <c r="A45" s="24" t="str">
        <f>'t1'!A45</f>
        <v>POSIZIONE ECONOMICA A3</v>
      </c>
      <c r="B45" s="151" t="str">
        <f>'t1'!B45</f>
        <v>027000</v>
      </c>
      <c r="C45" s="749"/>
      <c r="D45" s="249"/>
      <c r="E45" s="749"/>
      <c r="F45" s="249"/>
      <c r="G45" s="749"/>
      <c r="H45" s="249"/>
      <c r="I45" s="749"/>
      <c r="J45" s="249"/>
      <c r="K45" s="749"/>
      <c r="L45" s="249"/>
      <c r="M45" s="749"/>
      <c r="N45" s="249"/>
      <c r="O45" s="749"/>
      <c r="P45" s="249"/>
      <c r="Q45" s="749"/>
      <c r="R45" s="249"/>
      <c r="S45" s="749"/>
      <c r="T45" s="249"/>
      <c r="U45" s="749"/>
      <c r="V45" s="249"/>
      <c r="W45" s="749"/>
      <c r="X45" s="249"/>
      <c r="Y45" s="749"/>
      <c r="Z45" s="249"/>
      <c r="AA45" s="749"/>
      <c r="AB45" s="249"/>
      <c r="AC45" s="749"/>
      <c r="AD45" s="249"/>
      <c r="AE45" s="749"/>
      <c r="AF45" s="249"/>
      <c r="AG45" s="749"/>
      <c r="AH45" s="249"/>
      <c r="AI45" s="749"/>
      <c r="AJ45" s="249"/>
      <c r="AK45" s="749"/>
      <c r="AL45" s="249"/>
      <c r="AM45" s="749"/>
      <c r="AN45" s="249"/>
      <c r="AO45" s="749"/>
      <c r="AP45" s="249"/>
      <c r="AQ45" s="749"/>
      <c r="AR45" s="249"/>
      <c r="AS45" s="749"/>
      <c r="AT45" s="249"/>
      <c r="AU45" s="459">
        <f t="shared" si="3"/>
        <v>0</v>
      </c>
      <c r="AV45" s="460">
        <f t="shared" si="4"/>
        <v>0</v>
      </c>
      <c r="AW45" s="804" t="str">
        <f t="shared" si="1"/>
        <v>OK</v>
      </c>
      <c r="AX45" s="792">
        <f>'t1'!L45-'t3'!C45-'t3'!E45-'t3'!G45-'t3'!I45-'t3'!K45+'t3'!M45+'t3'!O45+'t3'!Q45</f>
        <v>0</v>
      </c>
      <c r="AY45" s="793">
        <f>'t1'!M45-'t3'!D45-'t3'!F45-'t3'!H45-'t3'!J45-'t3'!L45+'t3'!N45+'t3'!P45+'t3'!R45</f>
        <v>0</v>
      </c>
      <c r="AZ45" s="867">
        <f>'t1'!N45</f>
        <v>0</v>
      </c>
    </row>
    <row r="46" spans="1:52" ht="12.75" customHeight="1">
      <c r="A46" s="24" t="str">
        <f>'t1'!A46</f>
        <v>POSIZIONE ECONOMICA A2</v>
      </c>
      <c r="B46" s="151" t="str">
        <f>'t1'!B46</f>
        <v>025000</v>
      </c>
      <c r="C46" s="749"/>
      <c r="D46" s="249"/>
      <c r="E46" s="749"/>
      <c r="F46" s="249"/>
      <c r="G46" s="749"/>
      <c r="H46" s="249"/>
      <c r="I46" s="749"/>
      <c r="J46" s="249"/>
      <c r="K46" s="749"/>
      <c r="L46" s="249"/>
      <c r="M46" s="749"/>
      <c r="N46" s="249"/>
      <c r="O46" s="749"/>
      <c r="P46" s="249"/>
      <c r="Q46" s="749"/>
      <c r="R46" s="249"/>
      <c r="S46" s="749"/>
      <c r="T46" s="249"/>
      <c r="U46" s="749"/>
      <c r="V46" s="249"/>
      <c r="W46" s="749"/>
      <c r="X46" s="249"/>
      <c r="Y46" s="749"/>
      <c r="Z46" s="249"/>
      <c r="AA46" s="749"/>
      <c r="AB46" s="249"/>
      <c r="AC46" s="749"/>
      <c r="AD46" s="249"/>
      <c r="AE46" s="749"/>
      <c r="AF46" s="249"/>
      <c r="AG46" s="749"/>
      <c r="AH46" s="249"/>
      <c r="AI46" s="749"/>
      <c r="AJ46" s="249"/>
      <c r="AK46" s="749"/>
      <c r="AL46" s="249"/>
      <c r="AM46" s="749"/>
      <c r="AN46" s="249"/>
      <c r="AO46" s="749"/>
      <c r="AP46" s="249"/>
      <c r="AQ46" s="749"/>
      <c r="AR46" s="249"/>
      <c r="AS46" s="749"/>
      <c r="AT46" s="249"/>
      <c r="AU46" s="459">
        <f t="shared" si="3"/>
        <v>0</v>
      </c>
      <c r="AV46" s="460">
        <f t="shared" si="4"/>
        <v>0</v>
      </c>
      <c r="AW46" s="804" t="str">
        <f t="shared" si="1"/>
        <v>OK</v>
      </c>
      <c r="AX46" s="792">
        <f>'t1'!L46-'t3'!C46-'t3'!E46-'t3'!G46-'t3'!I46-'t3'!K46+'t3'!M46+'t3'!O46+'t3'!Q46</f>
        <v>0</v>
      </c>
      <c r="AY46" s="793">
        <f>'t1'!M46-'t3'!D46-'t3'!F46-'t3'!H46-'t3'!J46-'t3'!L46+'t3'!N46+'t3'!P46+'t3'!R46</f>
        <v>0</v>
      </c>
      <c r="AZ46" s="867">
        <f>'t1'!N46</f>
        <v>0</v>
      </c>
    </row>
    <row r="47" spans="1:52" ht="12.75" customHeight="1">
      <c r="A47" s="24" t="str">
        <f>'t1'!A47</f>
        <v>POSIZIONE ECONOMICA DI ACCESSO A1</v>
      </c>
      <c r="B47" s="151" t="str">
        <f>'t1'!B47</f>
        <v>053000</v>
      </c>
      <c r="C47" s="749"/>
      <c r="D47" s="249"/>
      <c r="E47" s="749"/>
      <c r="F47" s="249"/>
      <c r="G47" s="749"/>
      <c r="H47" s="249"/>
      <c r="I47" s="749"/>
      <c r="J47" s="249"/>
      <c r="K47" s="749"/>
      <c r="L47" s="249"/>
      <c r="M47" s="749"/>
      <c r="N47" s="249"/>
      <c r="O47" s="749"/>
      <c r="P47" s="249"/>
      <c r="Q47" s="749"/>
      <c r="R47" s="249"/>
      <c r="S47" s="749"/>
      <c r="T47" s="249"/>
      <c r="U47" s="749"/>
      <c r="V47" s="249"/>
      <c r="W47" s="749"/>
      <c r="X47" s="249"/>
      <c r="Y47" s="749"/>
      <c r="Z47" s="249"/>
      <c r="AA47" s="749"/>
      <c r="AB47" s="249"/>
      <c r="AC47" s="749"/>
      <c r="AD47" s="249"/>
      <c r="AE47" s="749"/>
      <c r="AF47" s="249"/>
      <c r="AG47" s="749"/>
      <c r="AH47" s="249"/>
      <c r="AI47" s="749"/>
      <c r="AJ47" s="249"/>
      <c r="AK47" s="749"/>
      <c r="AL47" s="249"/>
      <c r="AM47" s="749"/>
      <c r="AN47" s="249"/>
      <c r="AO47" s="749"/>
      <c r="AP47" s="249"/>
      <c r="AQ47" s="749"/>
      <c r="AR47" s="249"/>
      <c r="AS47" s="749"/>
      <c r="AT47" s="249"/>
      <c r="AU47" s="459">
        <f t="shared" si="3"/>
        <v>0</v>
      </c>
      <c r="AV47" s="460">
        <f t="shared" si="4"/>
        <v>0</v>
      </c>
      <c r="AW47" s="804" t="str">
        <f t="shared" si="1"/>
        <v>OK</v>
      </c>
      <c r="AX47" s="792">
        <f>'t1'!L47-'t3'!C47-'t3'!E47-'t3'!G47-'t3'!I47-'t3'!K47+'t3'!M47+'t3'!O47+'t3'!Q47</f>
        <v>0</v>
      </c>
      <c r="AY47" s="793">
        <f>'t1'!M47-'t3'!D47-'t3'!F47-'t3'!H47-'t3'!J47-'t3'!L47+'t3'!N47+'t3'!P47+'t3'!R47</f>
        <v>0</v>
      </c>
      <c r="AZ47" s="867">
        <f>'t1'!N47</f>
        <v>0</v>
      </c>
    </row>
    <row r="48" spans="1:52" ht="12.75" customHeight="1">
      <c r="A48" s="24" t="str">
        <f>'t1'!A48</f>
        <v>CONTRATTISTI (a)</v>
      </c>
      <c r="B48" s="151" t="str">
        <f>'t1'!B48</f>
        <v>000061</v>
      </c>
      <c r="C48" s="749"/>
      <c r="D48" s="249"/>
      <c r="E48" s="749"/>
      <c r="F48" s="249"/>
      <c r="G48" s="749"/>
      <c r="H48" s="249"/>
      <c r="I48" s="749"/>
      <c r="J48" s="249"/>
      <c r="K48" s="749"/>
      <c r="L48" s="249"/>
      <c r="M48" s="749"/>
      <c r="N48" s="249"/>
      <c r="O48" s="749"/>
      <c r="P48" s="249"/>
      <c r="Q48" s="749"/>
      <c r="R48" s="249"/>
      <c r="S48" s="749"/>
      <c r="T48" s="249"/>
      <c r="U48" s="749"/>
      <c r="V48" s="249"/>
      <c r="W48" s="749"/>
      <c r="X48" s="249"/>
      <c r="Y48" s="749"/>
      <c r="Z48" s="249"/>
      <c r="AA48" s="749"/>
      <c r="AB48" s="249"/>
      <c r="AC48" s="749"/>
      <c r="AD48" s="249"/>
      <c r="AE48" s="749"/>
      <c r="AF48" s="249"/>
      <c r="AG48" s="749"/>
      <c r="AH48" s="249"/>
      <c r="AI48" s="749"/>
      <c r="AJ48" s="249"/>
      <c r="AK48" s="749"/>
      <c r="AL48" s="249"/>
      <c r="AM48" s="749"/>
      <c r="AN48" s="249"/>
      <c r="AO48" s="749"/>
      <c r="AP48" s="249"/>
      <c r="AQ48" s="749"/>
      <c r="AR48" s="249"/>
      <c r="AS48" s="749"/>
      <c r="AT48" s="249"/>
      <c r="AU48" s="459">
        <f>SUM(S48,U48,W48,Y48,C48,E48,G48,I48,K48,M48,O48,Q48,AA48,AC48,AE48,AG48,AI48,AK48,AM48,AO48,AQ48,AS48)</f>
        <v>0</v>
      </c>
      <c r="AV48" s="460">
        <f>SUM(T48,V48,X48,Z48,D48,F48,H48,J48,L48,N48,P48,R48,AB48,AD48,AF48,AH48,AJ48,AL48,AN48,AP48,AR48,AT48)</f>
        <v>0</v>
      </c>
      <c r="AW48" s="804" t="str">
        <f t="shared" si="1"/>
        <v>OK</v>
      </c>
      <c r="AX48" s="792">
        <f>'t1'!L48-'t3'!C48-'t3'!E48-'t3'!G48-'t3'!I48-'t3'!K48+'t3'!M48+'t3'!O48+'t3'!Q48</f>
        <v>0</v>
      </c>
      <c r="AY48" s="793">
        <f>'t1'!M48-'t3'!D48-'t3'!F48-'t3'!H48-'t3'!J48-'t3'!L48+'t3'!N48+'t3'!P48+'t3'!R48</f>
        <v>0</v>
      </c>
      <c r="AZ48" s="867">
        <f>'t1'!N48</f>
        <v>0</v>
      </c>
    </row>
    <row r="49" spans="1:52" ht="12.75" customHeight="1" thickBot="1">
      <c r="A49" s="24" t="str">
        <f>'t1'!A49</f>
        <v>COLLABORATORE A T.D. ART. 90 TUEL (b)</v>
      </c>
      <c r="B49" s="151" t="str">
        <f>'t1'!B49</f>
        <v>000096</v>
      </c>
      <c r="C49" s="749"/>
      <c r="D49" s="249"/>
      <c r="E49" s="749"/>
      <c r="F49" s="249"/>
      <c r="G49" s="749"/>
      <c r="H49" s="249"/>
      <c r="I49" s="749"/>
      <c r="J49" s="249"/>
      <c r="K49" s="749"/>
      <c r="L49" s="249"/>
      <c r="M49" s="749"/>
      <c r="N49" s="249"/>
      <c r="O49" s="749"/>
      <c r="P49" s="249"/>
      <c r="Q49" s="749"/>
      <c r="R49" s="249"/>
      <c r="S49" s="749"/>
      <c r="T49" s="249"/>
      <c r="U49" s="749"/>
      <c r="V49" s="249"/>
      <c r="W49" s="749"/>
      <c r="X49" s="249"/>
      <c r="Y49" s="749"/>
      <c r="Z49" s="249"/>
      <c r="AA49" s="749"/>
      <c r="AB49" s="249"/>
      <c r="AC49" s="749"/>
      <c r="AD49" s="249"/>
      <c r="AE49" s="749"/>
      <c r="AF49" s="249"/>
      <c r="AG49" s="749"/>
      <c r="AH49" s="249"/>
      <c r="AI49" s="749"/>
      <c r="AJ49" s="249"/>
      <c r="AK49" s="749"/>
      <c r="AL49" s="249"/>
      <c r="AM49" s="749"/>
      <c r="AN49" s="249"/>
      <c r="AO49" s="749"/>
      <c r="AP49" s="249"/>
      <c r="AQ49" s="749"/>
      <c r="AR49" s="249"/>
      <c r="AS49" s="749"/>
      <c r="AT49" s="249"/>
      <c r="AU49" s="459">
        <f t="shared" si="3"/>
        <v>0</v>
      </c>
      <c r="AV49" s="460">
        <f t="shared" si="4"/>
        <v>0</v>
      </c>
      <c r="AW49" s="804" t="str">
        <f t="shared" si="1"/>
        <v>OK</v>
      </c>
      <c r="AX49" s="794">
        <f>'t1'!L49-'t3'!C49-'t3'!E49-'t3'!G49-'t3'!I49-'t3'!K49+'t3'!M49+'t3'!O49+'t3'!Q49</f>
        <v>0</v>
      </c>
      <c r="AY49" s="795">
        <f>'t1'!M49-'t3'!D49-'t3'!F49-'t3'!H49-'t3'!J49-'t3'!L49+'t3'!N49+'t3'!P49+'t3'!R49</f>
        <v>0</v>
      </c>
      <c r="AZ49" s="867">
        <f>'t1'!N49</f>
        <v>0</v>
      </c>
    </row>
    <row r="50" spans="1:52" ht="17.25" customHeight="1" thickTop="1" thickBot="1">
      <c r="A50" s="18" t="s">
        <v>107</v>
      </c>
      <c r="B50" s="153"/>
      <c r="C50" s="461">
        <f t="shared" ref="C50:AV50" si="5">SUM(C6:C49)</f>
        <v>0</v>
      </c>
      <c r="D50" s="463">
        <f t="shared" si="5"/>
        <v>0</v>
      </c>
      <c r="E50" s="461">
        <f t="shared" si="5"/>
        <v>0</v>
      </c>
      <c r="F50" s="463">
        <f t="shared" si="5"/>
        <v>0</v>
      </c>
      <c r="G50" s="461">
        <f t="shared" si="5"/>
        <v>0</v>
      </c>
      <c r="H50" s="463">
        <f t="shared" si="5"/>
        <v>0</v>
      </c>
      <c r="I50" s="461">
        <f t="shared" si="5"/>
        <v>0</v>
      </c>
      <c r="J50" s="463">
        <f t="shared" si="5"/>
        <v>0</v>
      </c>
      <c r="K50" s="461">
        <f t="shared" si="5"/>
        <v>0</v>
      </c>
      <c r="L50" s="463">
        <f t="shared" si="5"/>
        <v>0</v>
      </c>
      <c r="M50" s="461">
        <f t="shared" si="5"/>
        <v>0</v>
      </c>
      <c r="N50" s="463">
        <f t="shared" si="5"/>
        <v>0</v>
      </c>
      <c r="O50" s="461">
        <f t="shared" si="5"/>
        <v>0</v>
      </c>
      <c r="P50" s="463">
        <f t="shared" si="5"/>
        <v>0</v>
      </c>
      <c r="Q50" s="461">
        <f t="shared" si="5"/>
        <v>0</v>
      </c>
      <c r="R50" s="463">
        <f t="shared" si="5"/>
        <v>0</v>
      </c>
      <c r="S50" s="461">
        <f t="shared" si="5"/>
        <v>0</v>
      </c>
      <c r="T50" s="463">
        <f t="shared" si="5"/>
        <v>0</v>
      </c>
      <c r="U50" s="461">
        <f t="shared" si="5"/>
        <v>0</v>
      </c>
      <c r="V50" s="463">
        <f t="shared" si="5"/>
        <v>0</v>
      </c>
      <c r="W50" s="461">
        <f t="shared" si="5"/>
        <v>0</v>
      </c>
      <c r="X50" s="463">
        <f t="shared" si="5"/>
        <v>0</v>
      </c>
      <c r="Y50" s="461">
        <f t="shared" si="5"/>
        <v>0</v>
      </c>
      <c r="Z50" s="463">
        <f t="shared" si="5"/>
        <v>0</v>
      </c>
      <c r="AA50" s="461">
        <f t="shared" si="5"/>
        <v>0</v>
      </c>
      <c r="AB50" s="463">
        <f t="shared" si="5"/>
        <v>0</v>
      </c>
      <c r="AC50" s="461">
        <f t="shared" si="5"/>
        <v>0</v>
      </c>
      <c r="AD50" s="463">
        <f t="shared" si="5"/>
        <v>0</v>
      </c>
      <c r="AE50" s="461">
        <f t="shared" si="5"/>
        <v>0</v>
      </c>
      <c r="AF50" s="463">
        <f t="shared" si="5"/>
        <v>0</v>
      </c>
      <c r="AG50" s="461">
        <f t="shared" si="5"/>
        <v>0</v>
      </c>
      <c r="AH50" s="463">
        <f t="shared" si="5"/>
        <v>0</v>
      </c>
      <c r="AI50" s="461">
        <f t="shared" si="5"/>
        <v>0</v>
      </c>
      <c r="AJ50" s="463">
        <f t="shared" si="5"/>
        <v>0</v>
      </c>
      <c r="AK50" s="461">
        <f t="shared" si="5"/>
        <v>0</v>
      </c>
      <c r="AL50" s="463">
        <f t="shared" si="5"/>
        <v>0</v>
      </c>
      <c r="AM50" s="461">
        <f t="shared" si="5"/>
        <v>0</v>
      </c>
      <c r="AN50" s="463">
        <f t="shared" si="5"/>
        <v>0</v>
      </c>
      <c r="AO50" s="461">
        <f t="shared" si="5"/>
        <v>0</v>
      </c>
      <c r="AP50" s="463">
        <f t="shared" si="5"/>
        <v>0</v>
      </c>
      <c r="AQ50" s="461">
        <f t="shared" si="5"/>
        <v>0</v>
      </c>
      <c r="AR50" s="463">
        <f t="shared" si="5"/>
        <v>0</v>
      </c>
      <c r="AS50" s="461">
        <f t="shared" si="5"/>
        <v>0</v>
      </c>
      <c r="AT50" s="463">
        <f t="shared" si="5"/>
        <v>0</v>
      </c>
      <c r="AU50" s="461">
        <f t="shared" si="5"/>
        <v>0</v>
      </c>
      <c r="AV50" s="462">
        <f t="shared" si="5"/>
        <v>0</v>
      </c>
      <c r="AW50" s="804" t="str">
        <f t="shared" si="1"/>
        <v>Controllare totale</v>
      </c>
      <c r="AX50" s="796">
        <f>SUM(AX6:AX49)</f>
        <v>1</v>
      </c>
      <c r="AY50" s="797">
        <f>SUM(AY6:AY49)</f>
        <v>2</v>
      </c>
    </row>
    <row r="51" spans="1:52" ht="17.25" customHeight="1">
      <c r="A51" s="25"/>
      <c r="C51" s="25" t="str">
        <f>'t1'!$A$201</f>
        <v>(a) personale a tempo indeterminato al quale viene applicato un contratto di lavoro di tipo privatistico (es.:tipografico,chimico,edile,metalmeccanico,portierato, ecc.)</v>
      </c>
      <c r="M51" s="10"/>
      <c r="N51" s="10"/>
      <c r="O51" s="10"/>
      <c r="P51" s="10"/>
      <c r="Q51" s="10"/>
      <c r="R51" s="10"/>
      <c r="S51" s="9"/>
      <c r="T51" s="9"/>
      <c r="AA51" s="25">
        <f>'t1'!$A$54</f>
        <v>0</v>
      </c>
    </row>
    <row r="52" spans="1:52" ht="10.199999999999999">
      <c r="A52" s="25"/>
      <c r="C52" s="25" t="str">
        <f>'t1'!$A$202</f>
        <v>(b) cfr." istruzioni generali e specifiche di comparto" e "glossario"</v>
      </c>
      <c r="AA52" s="25">
        <f>'t1'!$A$55</f>
        <v>0</v>
      </c>
    </row>
  </sheetData>
  <sheetProtection password="EA98" sheet="1" formatColumns="0" selectLockedCells="1"/>
  <mergeCells count="6">
    <mergeCell ref="A1:A2"/>
    <mergeCell ref="G4:H4"/>
    <mergeCell ref="S2:Z2"/>
    <mergeCell ref="AO2:AV2"/>
    <mergeCell ref="C1:W1"/>
    <mergeCell ref="AA1:AS1"/>
  </mergeCells>
  <phoneticPr fontId="30" type="noConversion"/>
  <conditionalFormatting sqref="A6:AV49">
    <cfRule type="expression" dxfId="8" priority="1" stopIfTrue="1">
      <formula>$AZ6&gt;0</formula>
    </cfRule>
  </conditionalFormatting>
  <printOptions horizontalCentered="1" verticalCentered="1"/>
  <pageMargins left="0.2" right="0.2" top="0.19685039370078741" bottom="0.17" header="0.22" footer="0.19"/>
  <pageSetup paperSize="9" scale="75" orientation="landscape" horizontalDpi="300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29">
    <pageSetUpPr fitToPage="1"/>
  </sheetPr>
  <dimension ref="A1:BD54"/>
  <sheetViews>
    <sheetView showGridLines="0" zoomScaleNormal="100" workbookViewId="0">
      <pane xSplit="2" ySplit="7" topLeftCell="AH8" activePane="bottomRight" state="frozen"/>
      <selection activeCell="A2" sqref="A2"/>
      <selection pane="topRight" activeCell="A2" sqref="A2"/>
      <selection pane="bottomLeft" activeCell="A2" sqref="A2"/>
      <selection pane="bottomRight" activeCell="AH8" sqref="AH8"/>
    </sheetView>
  </sheetViews>
  <sheetFormatPr defaultColWidth="10.7109375" defaultRowHeight="10.199999999999999"/>
  <cols>
    <col min="1" max="1" width="43.42578125" style="30" customWidth="1"/>
    <col min="2" max="2" width="8.85546875" style="34" customWidth="1"/>
    <col min="3" max="6" width="11.28515625" style="30" hidden="1" customWidth="1"/>
    <col min="7" max="10" width="10.28515625" style="30" hidden="1" customWidth="1"/>
    <col min="11" max="14" width="10.7109375" style="30" hidden="1" customWidth="1"/>
    <col min="15" max="20" width="9.28515625" style="30" hidden="1" customWidth="1"/>
    <col min="21" max="33" width="10.7109375" style="30" hidden="1" customWidth="1"/>
    <col min="34" max="37" width="11.28515625" style="30" customWidth="1"/>
    <col min="38" max="41" width="10.28515625" style="30" customWidth="1"/>
    <col min="42" max="45" width="10.7109375" style="30"/>
    <col min="46" max="51" width="9.28515625" style="30" customWidth="1"/>
    <col min="52" max="53" width="10.7109375" style="30"/>
    <col min="54" max="54" width="0" style="30" hidden="1" customWidth="1"/>
    <col min="55" max="16384" width="10.7109375" style="30"/>
  </cols>
  <sheetData>
    <row r="1" spans="1:56" s="5" customFormat="1" ht="43.5" customHeight="1">
      <c r="A1" s="953" t="str">
        <f>'t1'!A1</f>
        <v>COMPARTO REGIONI ED AUTONOMIE LOCALI - anno 2017</v>
      </c>
      <c r="B1" s="953"/>
      <c r="C1" s="953"/>
      <c r="D1" s="953"/>
      <c r="E1" s="953"/>
      <c r="F1" s="953"/>
      <c r="G1" s="953"/>
      <c r="H1" s="953"/>
      <c r="I1" s="953"/>
      <c r="J1" s="953"/>
      <c r="K1" s="404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AP1" s="404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</row>
    <row r="2" spans="1:56" ht="30" customHeight="1" thickBot="1">
      <c r="A2" s="27"/>
      <c r="B2" s="28"/>
      <c r="C2" s="29"/>
      <c r="D2" s="29"/>
      <c r="E2" s="29"/>
      <c r="F2" s="29"/>
      <c r="G2" s="1443"/>
      <c r="H2" s="1443"/>
      <c r="I2" s="1443"/>
      <c r="J2" s="1443"/>
      <c r="AH2" s="29"/>
      <c r="AI2" s="29"/>
      <c r="AJ2" s="29"/>
      <c r="AK2" s="29"/>
      <c r="AL2" s="1443"/>
      <c r="AM2" s="1443"/>
      <c r="AN2" s="1443"/>
      <c r="AO2" s="1443"/>
    </row>
    <row r="3" spans="1:56" ht="15.75" customHeight="1" thickBot="1">
      <c r="A3" s="294"/>
      <c r="B3" s="299"/>
      <c r="C3" s="300" t="s">
        <v>289</v>
      </c>
      <c r="D3" s="300"/>
      <c r="E3" s="300"/>
      <c r="F3" s="300"/>
      <c r="G3" s="300"/>
      <c r="H3" s="301"/>
      <c r="I3" s="300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AH3" s="300" t="s">
        <v>289</v>
      </c>
      <c r="AI3" s="300"/>
      <c r="AJ3" s="300"/>
      <c r="AK3" s="300"/>
      <c r="AL3" s="300"/>
      <c r="AM3" s="301"/>
      <c r="AN3" s="300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</row>
    <row r="4" spans="1:56" ht="37.5" customHeight="1" thickTop="1">
      <c r="A4" s="31" t="s">
        <v>178</v>
      </c>
      <c r="B4" s="32" t="s">
        <v>103</v>
      </c>
      <c r="C4" s="487" t="s">
        <v>109</v>
      </c>
      <c r="D4" s="488"/>
      <c r="E4" s="1486" t="s">
        <v>550</v>
      </c>
      <c r="F4" s="1487"/>
      <c r="G4" s="1488" t="s">
        <v>640</v>
      </c>
      <c r="H4" s="1467"/>
      <c r="I4" s="1488" t="s">
        <v>549</v>
      </c>
      <c r="J4" s="1467"/>
      <c r="K4" s="1489" t="s">
        <v>548</v>
      </c>
      <c r="L4" s="1467"/>
      <c r="M4" s="1490" t="s">
        <v>547</v>
      </c>
      <c r="N4" s="1467"/>
      <c r="O4" s="1490" t="s">
        <v>508</v>
      </c>
      <c r="P4" s="1467"/>
      <c r="Q4" s="1490" t="s">
        <v>223</v>
      </c>
      <c r="R4" s="1467"/>
      <c r="S4" s="1490" t="s">
        <v>90</v>
      </c>
      <c r="T4" s="1467"/>
      <c r="U4" s="403" t="s">
        <v>107</v>
      </c>
      <c r="V4" s="402"/>
      <c r="AH4" s="487" t="s">
        <v>109</v>
      </c>
      <c r="AI4" s="488"/>
      <c r="AJ4" s="1486" t="s">
        <v>550</v>
      </c>
      <c r="AK4" s="1487"/>
      <c r="AL4" s="1488" t="s">
        <v>640</v>
      </c>
      <c r="AM4" s="1467"/>
      <c r="AN4" s="1488" t="s">
        <v>549</v>
      </c>
      <c r="AO4" s="1467"/>
      <c r="AP4" s="1489" t="s">
        <v>548</v>
      </c>
      <c r="AQ4" s="1467"/>
      <c r="AR4" s="1490" t="s">
        <v>547</v>
      </c>
      <c r="AS4" s="1467"/>
      <c r="AT4" s="1490" t="s">
        <v>508</v>
      </c>
      <c r="AU4" s="1467"/>
      <c r="AV4" s="1490" t="s">
        <v>223</v>
      </c>
      <c r="AW4" s="1467"/>
      <c r="AX4" s="1490" t="s">
        <v>90</v>
      </c>
      <c r="AY4" s="1467"/>
      <c r="AZ4" s="403" t="s">
        <v>107</v>
      </c>
      <c r="BA4" s="402"/>
    </row>
    <row r="5" spans="1:56">
      <c r="A5" s="879" t="s">
        <v>825</v>
      </c>
      <c r="B5" s="32"/>
      <c r="C5" s="1484" t="s">
        <v>363</v>
      </c>
      <c r="D5" s="1485"/>
      <c r="E5" s="1484" t="s">
        <v>551</v>
      </c>
      <c r="F5" s="1485"/>
      <c r="G5" s="1484" t="s">
        <v>639</v>
      </c>
      <c r="H5" s="1485"/>
      <c r="I5" s="1484" t="s">
        <v>552</v>
      </c>
      <c r="J5" s="1485"/>
      <c r="K5" s="1484" t="s">
        <v>553</v>
      </c>
      <c r="L5" s="1485"/>
      <c r="M5" s="1482" t="s">
        <v>554</v>
      </c>
      <c r="N5" s="1483"/>
      <c r="O5" s="1482" t="s">
        <v>364</v>
      </c>
      <c r="P5" s="1483"/>
      <c r="Q5" s="1482" t="s">
        <v>365</v>
      </c>
      <c r="R5" s="1483"/>
      <c r="S5" s="1482" t="s">
        <v>440</v>
      </c>
      <c r="T5" s="1483"/>
      <c r="U5" s="405"/>
      <c r="V5" s="467"/>
      <c r="AH5" s="1484" t="s">
        <v>363</v>
      </c>
      <c r="AI5" s="1485"/>
      <c r="AJ5" s="1484" t="s">
        <v>551</v>
      </c>
      <c r="AK5" s="1485"/>
      <c r="AL5" s="1484" t="s">
        <v>639</v>
      </c>
      <c r="AM5" s="1485"/>
      <c r="AN5" s="1484" t="s">
        <v>552</v>
      </c>
      <c r="AO5" s="1485"/>
      <c r="AP5" s="1484" t="s">
        <v>553</v>
      </c>
      <c r="AQ5" s="1485"/>
      <c r="AR5" s="1482" t="s">
        <v>554</v>
      </c>
      <c r="AS5" s="1483"/>
      <c r="AT5" s="1482" t="s">
        <v>364</v>
      </c>
      <c r="AU5" s="1483"/>
      <c r="AV5" s="1482" t="s">
        <v>365</v>
      </c>
      <c r="AW5" s="1483"/>
      <c r="AX5" s="1482" t="s">
        <v>440</v>
      </c>
      <c r="AY5" s="1483"/>
      <c r="AZ5" s="405"/>
      <c r="BA5" s="467"/>
    </row>
    <row r="6" spans="1:56" ht="12" customHeight="1">
      <c r="A6" s="31"/>
      <c r="B6" s="32"/>
      <c r="C6" s="274" t="s">
        <v>105</v>
      </c>
      <c r="D6" s="406" t="s">
        <v>106</v>
      </c>
      <c r="E6" s="274" t="s">
        <v>105</v>
      </c>
      <c r="F6" s="406" t="s">
        <v>106</v>
      </c>
      <c r="G6" s="274" t="s">
        <v>105</v>
      </c>
      <c r="H6" s="406" t="s">
        <v>106</v>
      </c>
      <c r="I6" s="274" t="s">
        <v>105</v>
      </c>
      <c r="J6" s="406" t="s">
        <v>106</v>
      </c>
      <c r="K6" s="274" t="s">
        <v>105</v>
      </c>
      <c r="L6" s="406" t="s">
        <v>106</v>
      </c>
      <c r="M6" s="274" t="s">
        <v>105</v>
      </c>
      <c r="N6" s="406" t="s">
        <v>106</v>
      </c>
      <c r="O6" s="274" t="s">
        <v>105</v>
      </c>
      <c r="P6" s="668" t="s">
        <v>106</v>
      </c>
      <c r="Q6" s="274" t="s">
        <v>105</v>
      </c>
      <c r="R6" s="668" t="s">
        <v>106</v>
      </c>
      <c r="S6" s="274" t="s">
        <v>105</v>
      </c>
      <c r="T6" s="665" t="s">
        <v>106</v>
      </c>
      <c r="U6" s="274" t="s">
        <v>105</v>
      </c>
      <c r="V6" s="406" t="s">
        <v>106</v>
      </c>
      <c r="AH6" s="274" t="s">
        <v>105</v>
      </c>
      <c r="AI6" s="406" t="s">
        <v>106</v>
      </c>
      <c r="AJ6" s="274" t="s">
        <v>105</v>
      </c>
      <c r="AK6" s="406" t="s">
        <v>106</v>
      </c>
      <c r="AL6" s="274" t="s">
        <v>105</v>
      </c>
      <c r="AM6" s="406" t="s">
        <v>106</v>
      </c>
      <c r="AN6" s="274" t="s">
        <v>105</v>
      </c>
      <c r="AO6" s="406" t="s">
        <v>106</v>
      </c>
      <c r="AP6" s="274" t="s">
        <v>105</v>
      </c>
      <c r="AQ6" s="406" t="s">
        <v>106</v>
      </c>
      <c r="AR6" s="274" t="s">
        <v>105</v>
      </c>
      <c r="AS6" s="406" t="s">
        <v>106</v>
      </c>
      <c r="AT6" s="274" t="s">
        <v>105</v>
      </c>
      <c r="AU6" s="668" t="s">
        <v>106</v>
      </c>
      <c r="AV6" s="274" t="s">
        <v>105</v>
      </c>
      <c r="AW6" s="668" t="s">
        <v>106</v>
      </c>
      <c r="AX6" s="274" t="s">
        <v>105</v>
      </c>
      <c r="AY6" s="665" t="s">
        <v>106</v>
      </c>
      <c r="AZ6" s="274" t="s">
        <v>105</v>
      </c>
      <c r="BA6" s="406" t="s">
        <v>106</v>
      </c>
    </row>
    <row r="7" spans="1:56" s="286" customFormat="1" ht="8.4" thickBot="1">
      <c r="A7" s="283"/>
      <c r="B7" s="474"/>
      <c r="C7" s="284" t="s">
        <v>110</v>
      </c>
      <c r="D7" s="285" t="s">
        <v>110</v>
      </c>
      <c r="E7" s="284" t="s">
        <v>110</v>
      </c>
      <c r="F7" s="285" t="s">
        <v>110</v>
      </c>
      <c r="G7" s="284" t="s">
        <v>110</v>
      </c>
      <c r="H7" s="285" t="s">
        <v>110</v>
      </c>
      <c r="I7" s="284" t="s">
        <v>110</v>
      </c>
      <c r="J7" s="285" t="s">
        <v>110</v>
      </c>
      <c r="K7" s="284" t="s">
        <v>110</v>
      </c>
      <c r="L7" s="285" t="s">
        <v>110</v>
      </c>
      <c r="M7" s="284" t="s">
        <v>110</v>
      </c>
      <c r="N7" s="285" t="s">
        <v>110</v>
      </c>
      <c r="O7" s="284" t="s">
        <v>110</v>
      </c>
      <c r="P7" s="669" t="s">
        <v>110</v>
      </c>
      <c r="Q7" s="284" t="s">
        <v>110</v>
      </c>
      <c r="R7" s="669" t="s">
        <v>110</v>
      </c>
      <c r="S7" s="284" t="s">
        <v>110</v>
      </c>
      <c r="T7" s="669" t="s">
        <v>110</v>
      </c>
      <c r="U7" s="672" t="s">
        <v>110</v>
      </c>
      <c r="V7" s="538" t="s">
        <v>110</v>
      </c>
      <c r="AH7" s="284" t="s">
        <v>110</v>
      </c>
      <c r="AI7" s="285" t="s">
        <v>110</v>
      </c>
      <c r="AJ7" s="284" t="s">
        <v>110</v>
      </c>
      <c r="AK7" s="285" t="s">
        <v>110</v>
      </c>
      <c r="AL7" s="284" t="s">
        <v>110</v>
      </c>
      <c r="AM7" s="285" t="s">
        <v>110</v>
      </c>
      <c r="AN7" s="284" t="s">
        <v>110</v>
      </c>
      <c r="AO7" s="285" t="s">
        <v>110</v>
      </c>
      <c r="AP7" s="284" t="s">
        <v>110</v>
      </c>
      <c r="AQ7" s="285" t="s">
        <v>110</v>
      </c>
      <c r="AR7" s="284" t="s">
        <v>110</v>
      </c>
      <c r="AS7" s="285" t="s">
        <v>110</v>
      </c>
      <c r="AT7" s="284" t="s">
        <v>110</v>
      </c>
      <c r="AU7" s="669" t="s">
        <v>110</v>
      </c>
      <c r="AV7" s="284" t="s">
        <v>110</v>
      </c>
      <c r="AW7" s="669" t="s">
        <v>110</v>
      </c>
      <c r="AX7" s="284" t="s">
        <v>110</v>
      </c>
      <c r="AY7" s="669" t="s">
        <v>110</v>
      </c>
      <c r="AZ7" s="672" t="s">
        <v>110</v>
      </c>
      <c r="BA7" s="538" t="s">
        <v>110</v>
      </c>
    </row>
    <row r="8" spans="1:56" ht="12.9" customHeight="1" thickTop="1">
      <c r="A8" s="152" t="str">
        <f>'t1'!A6</f>
        <v>SEGRETARIO A</v>
      </c>
      <c r="B8" s="224" t="str">
        <f>'t1'!B6</f>
        <v>0D0102</v>
      </c>
      <c r="C8" s="949">
        <f>ROUND(AH8,0)</f>
        <v>0</v>
      </c>
      <c r="D8" s="950">
        <f t="shared" ref="D8:D51" si="0">ROUND(AI8,0)</f>
        <v>0</v>
      </c>
      <c r="E8" s="949">
        <f t="shared" ref="E8:E51" si="1">ROUND(AJ8,0)</f>
        <v>0</v>
      </c>
      <c r="F8" s="950">
        <f t="shared" ref="F8:F51" si="2">ROUND(AK8,0)</f>
        <v>0</v>
      </c>
      <c r="G8" s="949">
        <f t="shared" ref="G8:G51" si="3">ROUND(AL8,0)</f>
        <v>0</v>
      </c>
      <c r="H8" s="950">
        <f t="shared" ref="H8:H51" si="4">ROUND(AM8,0)</f>
        <v>0</v>
      </c>
      <c r="I8" s="949">
        <f t="shared" ref="I8:I51" si="5">ROUND(AN8,0)</f>
        <v>0</v>
      </c>
      <c r="J8" s="950">
        <f t="shared" ref="J8:J51" si="6">ROUND(AO8,0)</f>
        <v>0</v>
      </c>
      <c r="K8" s="949">
        <f t="shared" ref="K8:K51" si="7">ROUND(AP8,0)</f>
        <v>0</v>
      </c>
      <c r="L8" s="950">
        <f t="shared" ref="L8:L51" si="8">ROUND(AQ8,0)</f>
        <v>0</v>
      </c>
      <c r="M8" s="949">
        <f t="shared" ref="M8:M51" si="9">ROUND(AR8,0)</f>
        <v>0</v>
      </c>
      <c r="N8" s="950">
        <f t="shared" ref="N8:N51" si="10">ROUND(AS8,0)</f>
        <v>0</v>
      </c>
      <c r="O8" s="949">
        <f t="shared" ref="O8:O51" si="11">ROUND(AT8,0)</f>
        <v>0</v>
      </c>
      <c r="P8" s="951">
        <f t="shared" ref="P8:P51" si="12">ROUND(AU8,0)</f>
        <v>0</v>
      </c>
      <c r="Q8" s="949">
        <f t="shared" ref="Q8:Q51" si="13">ROUND(AV8,0)</f>
        <v>0</v>
      </c>
      <c r="R8" s="951">
        <f t="shared" ref="R8:R51" si="14">ROUND(AW8,0)</f>
        <v>0</v>
      </c>
      <c r="S8" s="949">
        <f t="shared" ref="S8:S51" si="15">ROUND(AX8,0)</f>
        <v>0</v>
      </c>
      <c r="T8" s="952">
        <f t="shared" ref="T8:T51" si="16">ROUND(AY8,0)</f>
        <v>0</v>
      </c>
      <c r="U8" s="874">
        <f>SUM(C8,E8,G8,I8,K8,M8,O8,Q8,S8)</f>
        <v>0</v>
      </c>
      <c r="V8" s="875">
        <f>SUM(D8,F8,H8,J8,L8,N8,P8,R8,T8)</f>
        <v>0</v>
      </c>
      <c r="W8" s="876">
        <f>'t1'!N6</f>
        <v>0</v>
      </c>
      <c r="AH8" s="272"/>
      <c r="AI8" s="273"/>
      <c r="AJ8" s="272"/>
      <c r="AK8" s="273"/>
      <c r="AL8" s="272"/>
      <c r="AM8" s="273"/>
      <c r="AN8" s="272"/>
      <c r="AO8" s="273"/>
      <c r="AP8" s="272"/>
      <c r="AQ8" s="273"/>
      <c r="AR8" s="272"/>
      <c r="AS8" s="273"/>
      <c r="AT8" s="272"/>
      <c r="AU8" s="670"/>
      <c r="AV8" s="272"/>
      <c r="AW8" s="670"/>
      <c r="AX8" s="272"/>
      <c r="AY8" s="666"/>
      <c r="AZ8" s="874">
        <f>SUM(AH8,AJ8,AL8,AN8,AP8,AR8,AT8,AV8,AX8)</f>
        <v>0</v>
      </c>
      <c r="BA8" s="875">
        <f>SUM(AI8,AK8,AM8,AO8,AQ8,AS8,AU8,AW8,AY8)</f>
        <v>0</v>
      </c>
      <c r="BB8" s="876">
        <f>'t1'!AS6</f>
        <v>0</v>
      </c>
    </row>
    <row r="9" spans="1:56" ht="12.9" customHeight="1">
      <c r="A9" s="152" t="str">
        <f>'t1'!A7</f>
        <v>SEGRETARIO B</v>
      </c>
      <c r="B9" s="224" t="str">
        <f>'t1'!B7</f>
        <v>0D0103</v>
      </c>
      <c r="C9" s="949">
        <f t="shared" ref="C9:C51" si="17">ROUND(AH9,0)</f>
        <v>0</v>
      </c>
      <c r="D9" s="950">
        <f t="shared" si="0"/>
        <v>0</v>
      </c>
      <c r="E9" s="949">
        <f t="shared" si="1"/>
        <v>0</v>
      </c>
      <c r="F9" s="950">
        <f t="shared" si="2"/>
        <v>0</v>
      </c>
      <c r="G9" s="949">
        <f t="shared" si="3"/>
        <v>0</v>
      </c>
      <c r="H9" s="950">
        <f t="shared" si="4"/>
        <v>0</v>
      </c>
      <c r="I9" s="949">
        <f t="shared" si="5"/>
        <v>0</v>
      </c>
      <c r="J9" s="950">
        <f t="shared" si="6"/>
        <v>0</v>
      </c>
      <c r="K9" s="949">
        <f t="shared" si="7"/>
        <v>0</v>
      </c>
      <c r="L9" s="950">
        <f t="shared" si="8"/>
        <v>0</v>
      </c>
      <c r="M9" s="949">
        <f t="shared" si="9"/>
        <v>0</v>
      </c>
      <c r="N9" s="950">
        <f t="shared" si="10"/>
        <v>0</v>
      </c>
      <c r="O9" s="949">
        <f t="shared" si="11"/>
        <v>0</v>
      </c>
      <c r="P9" s="951">
        <f t="shared" si="12"/>
        <v>0</v>
      </c>
      <c r="Q9" s="949">
        <f t="shared" si="13"/>
        <v>0</v>
      </c>
      <c r="R9" s="951">
        <f t="shared" si="14"/>
        <v>0</v>
      </c>
      <c r="S9" s="949">
        <f t="shared" si="15"/>
        <v>0</v>
      </c>
      <c r="T9" s="952">
        <f t="shared" si="16"/>
        <v>0</v>
      </c>
      <c r="U9" s="537">
        <f t="shared" ref="U9:U51" si="18">SUM(C9,E9,G9,I9,K9,M9,O9,Q9,S9)</f>
        <v>0</v>
      </c>
      <c r="V9" s="539">
        <f t="shared" ref="V9:V51" si="19">SUM(D9,F9,H9,J9,L9,N9,P9,R9,T9)</f>
        <v>0</v>
      </c>
      <c r="W9" s="876">
        <f>'t1'!N7</f>
        <v>0</v>
      </c>
      <c r="AH9" s="272"/>
      <c r="AI9" s="273"/>
      <c r="AJ9" s="272"/>
      <c r="AK9" s="273"/>
      <c r="AL9" s="272"/>
      <c r="AM9" s="273"/>
      <c r="AN9" s="272"/>
      <c r="AO9" s="273"/>
      <c r="AP9" s="272"/>
      <c r="AQ9" s="273"/>
      <c r="AR9" s="272"/>
      <c r="AS9" s="273"/>
      <c r="AT9" s="272"/>
      <c r="AU9" s="670"/>
      <c r="AV9" s="272"/>
      <c r="AW9" s="670"/>
      <c r="AX9" s="272"/>
      <c r="AY9" s="666"/>
      <c r="AZ9" s="537">
        <f t="shared" ref="AZ9:AZ49" si="20">SUM(AH9,AJ9,AL9,AN9,AP9,AR9,AT9,AV9,AX9)</f>
        <v>0</v>
      </c>
      <c r="BA9" s="539">
        <f t="shared" ref="BA9:BA49" si="21">SUM(AI9,AK9,AM9,AO9,AQ9,AS9,AU9,AW9,AY9)</f>
        <v>0</v>
      </c>
      <c r="BB9" s="876">
        <f>'t1'!AS7</f>
        <v>0</v>
      </c>
    </row>
    <row r="10" spans="1:56" ht="12.9" customHeight="1">
      <c r="A10" s="152" t="str">
        <f>'t1'!A8</f>
        <v>SEGRETARIO C</v>
      </c>
      <c r="B10" s="224" t="str">
        <f>'t1'!B8</f>
        <v>0D0485</v>
      </c>
      <c r="C10" s="949">
        <f t="shared" si="17"/>
        <v>0</v>
      </c>
      <c r="D10" s="950">
        <f t="shared" si="0"/>
        <v>0</v>
      </c>
      <c r="E10" s="949">
        <f t="shared" si="1"/>
        <v>0</v>
      </c>
      <c r="F10" s="950">
        <f t="shared" si="2"/>
        <v>0</v>
      </c>
      <c r="G10" s="949">
        <f t="shared" si="3"/>
        <v>0</v>
      </c>
      <c r="H10" s="950">
        <f t="shared" si="4"/>
        <v>0</v>
      </c>
      <c r="I10" s="949">
        <f t="shared" si="5"/>
        <v>0</v>
      </c>
      <c r="J10" s="950">
        <f t="shared" si="6"/>
        <v>0</v>
      </c>
      <c r="K10" s="949">
        <f t="shared" si="7"/>
        <v>0</v>
      </c>
      <c r="L10" s="950">
        <f t="shared" si="8"/>
        <v>0</v>
      </c>
      <c r="M10" s="949">
        <f t="shared" si="9"/>
        <v>0</v>
      </c>
      <c r="N10" s="950">
        <f t="shared" si="10"/>
        <v>0</v>
      </c>
      <c r="O10" s="949">
        <f t="shared" si="11"/>
        <v>0</v>
      </c>
      <c r="P10" s="951">
        <f t="shared" si="12"/>
        <v>0</v>
      </c>
      <c r="Q10" s="949">
        <f t="shared" si="13"/>
        <v>0</v>
      </c>
      <c r="R10" s="951">
        <f t="shared" si="14"/>
        <v>0</v>
      </c>
      <c r="S10" s="949">
        <f t="shared" si="15"/>
        <v>0</v>
      </c>
      <c r="T10" s="952">
        <f t="shared" si="16"/>
        <v>0</v>
      </c>
      <c r="U10" s="537">
        <f t="shared" si="18"/>
        <v>0</v>
      </c>
      <c r="V10" s="539">
        <f t="shared" si="19"/>
        <v>0</v>
      </c>
      <c r="W10" s="876">
        <f>'t1'!N8</f>
        <v>0</v>
      </c>
      <c r="AH10" s="272"/>
      <c r="AI10" s="273"/>
      <c r="AJ10" s="272"/>
      <c r="AK10" s="273"/>
      <c r="AL10" s="272"/>
      <c r="AM10" s="273"/>
      <c r="AN10" s="272"/>
      <c r="AO10" s="273"/>
      <c r="AP10" s="272"/>
      <c r="AQ10" s="273"/>
      <c r="AR10" s="272"/>
      <c r="AS10" s="273"/>
      <c r="AT10" s="272"/>
      <c r="AU10" s="670"/>
      <c r="AV10" s="272"/>
      <c r="AW10" s="670"/>
      <c r="AX10" s="272"/>
      <c r="AY10" s="666"/>
      <c r="AZ10" s="537">
        <f t="shared" si="20"/>
        <v>0</v>
      </c>
      <c r="BA10" s="539">
        <f t="shared" si="21"/>
        <v>0</v>
      </c>
      <c r="BB10" s="876">
        <f>'t1'!AS8</f>
        <v>0</v>
      </c>
    </row>
    <row r="11" spans="1:56" ht="12.9" customHeight="1">
      <c r="A11" s="152" t="str">
        <f>'t1'!A9</f>
        <v>SEGRETARIO GENERALE CCIAA</v>
      </c>
      <c r="B11" s="224" t="str">
        <f>'t1'!B9</f>
        <v>0D0104</v>
      </c>
      <c r="C11" s="949">
        <f t="shared" si="17"/>
        <v>0</v>
      </c>
      <c r="D11" s="950">
        <f t="shared" si="0"/>
        <v>0</v>
      </c>
      <c r="E11" s="949">
        <f t="shared" si="1"/>
        <v>0</v>
      </c>
      <c r="F11" s="950">
        <f t="shared" si="2"/>
        <v>0</v>
      </c>
      <c r="G11" s="949">
        <f t="shared" si="3"/>
        <v>0</v>
      </c>
      <c r="H11" s="950">
        <f t="shared" si="4"/>
        <v>0</v>
      </c>
      <c r="I11" s="949">
        <f t="shared" si="5"/>
        <v>0</v>
      </c>
      <c r="J11" s="950">
        <f t="shared" si="6"/>
        <v>0</v>
      </c>
      <c r="K11" s="949">
        <f t="shared" si="7"/>
        <v>0</v>
      </c>
      <c r="L11" s="950">
        <f t="shared" si="8"/>
        <v>0</v>
      </c>
      <c r="M11" s="949">
        <f t="shared" si="9"/>
        <v>0</v>
      </c>
      <c r="N11" s="950">
        <f t="shared" si="10"/>
        <v>0</v>
      </c>
      <c r="O11" s="949">
        <f t="shared" si="11"/>
        <v>0</v>
      </c>
      <c r="P11" s="951">
        <f t="shared" si="12"/>
        <v>0</v>
      </c>
      <c r="Q11" s="949">
        <f t="shared" si="13"/>
        <v>0</v>
      </c>
      <c r="R11" s="951">
        <f t="shared" si="14"/>
        <v>0</v>
      </c>
      <c r="S11" s="949">
        <f t="shared" si="15"/>
        <v>0</v>
      </c>
      <c r="T11" s="952">
        <f t="shared" si="16"/>
        <v>0</v>
      </c>
      <c r="U11" s="537">
        <f t="shared" si="18"/>
        <v>0</v>
      </c>
      <c r="V11" s="539">
        <f t="shared" si="19"/>
        <v>0</v>
      </c>
      <c r="W11" s="876">
        <f>'t1'!N9</f>
        <v>0</v>
      </c>
      <c r="AH11" s="272"/>
      <c r="AI11" s="273"/>
      <c r="AJ11" s="272"/>
      <c r="AK11" s="273"/>
      <c r="AL11" s="272"/>
      <c r="AM11" s="273"/>
      <c r="AN11" s="272"/>
      <c r="AO11" s="273"/>
      <c r="AP11" s="272"/>
      <c r="AQ11" s="273"/>
      <c r="AR11" s="272"/>
      <c r="AS11" s="273"/>
      <c r="AT11" s="272"/>
      <c r="AU11" s="670"/>
      <c r="AV11" s="272"/>
      <c r="AW11" s="670"/>
      <c r="AX11" s="272"/>
      <c r="AY11" s="666"/>
      <c r="AZ11" s="537">
        <f t="shared" si="20"/>
        <v>0</v>
      </c>
      <c r="BA11" s="539">
        <f t="shared" si="21"/>
        <v>0</v>
      </c>
      <c r="BB11" s="876">
        <f>'t1'!AS9</f>
        <v>0</v>
      </c>
    </row>
    <row r="12" spans="1:56" ht="12.9" customHeight="1">
      <c r="A12" s="152" t="str">
        <f>'t1'!A10</f>
        <v>DIRETTORE  GENERALE</v>
      </c>
      <c r="B12" s="224" t="str">
        <f>'t1'!B10</f>
        <v>0D0097</v>
      </c>
      <c r="C12" s="949">
        <f t="shared" si="17"/>
        <v>0</v>
      </c>
      <c r="D12" s="950">
        <f t="shared" si="0"/>
        <v>0</v>
      </c>
      <c r="E12" s="949">
        <f t="shared" si="1"/>
        <v>0</v>
      </c>
      <c r="F12" s="950">
        <f t="shared" si="2"/>
        <v>0</v>
      </c>
      <c r="G12" s="949">
        <f t="shared" si="3"/>
        <v>0</v>
      </c>
      <c r="H12" s="950">
        <f t="shared" si="4"/>
        <v>0</v>
      </c>
      <c r="I12" s="949">
        <f t="shared" si="5"/>
        <v>0</v>
      </c>
      <c r="J12" s="950">
        <f t="shared" si="6"/>
        <v>0</v>
      </c>
      <c r="K12" s="949">
        <f t="shared" si="7"/>
        <v>0</v>
      </c>
      <c r="L12" s="950">
        <f t="shared" si="8"/>
        <v>0</v>
      </c>
      <c r="M12" s="949">
        <f t="shared" si="9"/>
        <v>0</v>
      </c>
      <c r="N12" s="950">
        <f t="shared" si="10"/>
        <v>0</v>
      </c>
      <c r="O12" s="949">
        <f t="shared" si="11"/>
        <v>0</v>
      </c>
      <c r="P12" s="951">
        <f t="shared" si="12"/>
        <v>0</v>
      </c>
      <c r="Q12" s="949">
        <f t="shared" si="13"/>
        <v>0</v>
      </c>
      <c r="R12" s="951">
        <f t="shared" si="14"/>
        <v>0</v>
      </c>
      <c r="S12" s="949">
        <f t="shared" si="15"/>
        <v>0</v>
      </c>
      <c r="T12" s="952">
        <f t="shared" si="16"/>
        <v>0</v>
      </c>
      <c r="U12" s="537">
        <f t="shared" si="18"/>
        <v>0</v>
      </c>
      <c r="V12" s="539">
        <f t="shared" si="19"/>
        <v>0</v>
      </c>
      <c r="W12" s="876">
        <f>'t1'!N10</f>
        <v>0</v>
      </c>
      <c r="AH12" s="272"/>
      <c r="AI12" s="273"/>
      <c r="AJ12" s="272"/>
      <c r="AK12" s="273"/>
      <c r="AL12" s="272"/>
      <c r="AM12" s="273"/>
      <c r="AN12" s="272"/>
      <c r="AO12" s="273"/>
      <c r="AP12" s="272"/>
      <c r="AQ12" s="273"/>
      <c r="AR12" s="272"/>
      <c r="AS12" s="273"/>
      <c r="AT12" s="272"/>
      <c r="AU12" s="670"/>
      <c r="AV12" s="272"/>
      <c r="AW12" s="670"/>
      <c r="AX12" s="272"/>
      <c r="AY12" s="666"/>
      <c r="AZ12" s="537">
        <f t="shared" si="20"/>
        <v>0</v>
      </c>
      <c r="BA12" s="539">
        <f t="shared" si="21"/>
        <v>0</v>
      </c>
      <c r="BB12" s="876">
        <f>'t1'!AS10</f>
        <v>0</v>
      </c>
    </row>
    <row r="13" spans="1:56" ht="12.9" customHeight="1">
      <c r="A13" s="152" t="str">
        <f>'t1'!A11</f>
        <v>DIRIGENTE FUORI D.O. art.110 c.2 TUEL</v>
      </c>
      <c r="B13" s="224" t="str">
        <f>'t1'!B11</f>
        <v>0D0098</v>
      </c>
      <c r="C13" s="949">
        <f t="shared" si="17"/>
        <v>0</v>
      </c>
      <c r="D13" s="950">
        <f t="shared" si="0"/>
        <v>0</v>
      </c>
      <c r="E13" s="949">
        <f t="shared" si="1"/>
        <v>0</v>
      </c>
      <c r="F13" s="950">
        <f t="shared" si="2"/>
        <v>0</v>
      </c>
      <c r="G13" s="949">
        <f t="shared" si="3"/>
        <v>0</v>
      </c>
      <c r="H13" s="950">
        <f t="shared" si="4"/>
        <v>0</v>
      </c>
      <c r="I13" s="949">
        <f t="shared" si="5"/>
        <v>0</v>
      </c>
      <c r="J13" s="950">
        <f t="shared" si="6"/>
        <v>0</v>
      </c>
      <c r="K13" s="949">
        <f t="shared" si="7"/>
        <v>0</v>
      </c>
      <c r="L13" s="950">
        <f t="shared" si="8"/>
        <v>0</v>
      </c>
      <c r="M13" s="949">
        <f t="shared" si="9"/>
        <v>0</v>
      </c>
      <c r="N13" s="950">
        <f t="shared" si="10"/>
        <v>0</v>
      </c>
      <c r="O13" s="949">
        <f t="shared" si="11"/>
        <v>0</v>
      </c>
      <c r="P13" s="951">
        <f t="shared" si="12"/>
        <v>0</v>
      </c>
      <c r="Q13" s="949">
        <f t="shared" si="13"/>
        <v>0</v>
      </c>
      <c r="R13" s="951">
        <f t="shared" si="14"/>
        <v>0</v>
      </c>
      <c r="S13" s="949">
        <f t="shared" si="15"/>
        <v>0</v>
      </c>
      <c r="T13" s="952">
        <f t="shared" si="16"/>
        <v>0</v>
      </c>
      <c r="U13" s="537">
        <f t="shared" si="18"/>
        <v>0</v>
      </c>
      <c r="V13" s="539">
        <f t="shared" si="19"/>
        <v>0</v>
      </c>
      <c r="W13" s="876">
        <f>'t1'!N11</f>
        <v>0</v>
      </c>
      <c r="AH13" s="272"/>
      <c r="AI13" s="273"/>
      <c r="AJ13" s="272"/>
      <c r="AK13" s="273"/>
      <c r="AL13" s="272"/>
      <c r="AM13" s="273"/>
      <c r="AN13" s="272"/>
      <c r="AO13" s="273"/>
      <c r="AP13" s="272"/>
      <c r="AQ13" s="273"/>
      <c r="AR13" s="272"/>
      <c r="AS13" s="273"/>
      <c r="AT13" s="272"/>
      <c r="AU13" s="670"/>
      <c r="AV13" s="272"/>
      <c r="AW13" s="670"/>
      <c r="AX13" s="272"/>
      <c r="AY13" s="666"/>
      <c r="AZ13" s="537">
        <f t="shared" si="20"/>
        <v>0</v>
      </c>
      <c r="BA13" s="539">
        <f t="shared" si="21"/>
        <v>0</v>
      </c>
      <c r="BB13" s="876">
        <f>'t1'!AS11</f>
        <v>0</v>
      </c>
    </row>
    <row r="14" spans="1:56" ht="12.9" customHeight="1">
      <c r="A14" s="152" t="str">
        <f>'t1'!A12</f>
        <v>ALTE SPECIALIZZ. FUORI D.O.art.110 c.2 TUEL</v>
      </c>
      <c r="B14" s="224" t="str">
        <f>'t1'!B12</f>
        <v>0D0095</v>
      </c>
      <c r="C14" s="949">
        <f t="shared" si="17"/>
        <v>0</v>
      </c>
      <c r="D14" s="950">
        <f t="shared" si="0"/>
        <v>0</v>
      </c>
      <c r="E14" s="949">
        <f t="shared" si="1"/>
        <v>0</v>
      </c>
      <c r="F14" s="950">
        <f t="shared" si="2"/>
        <v>0</v>
      </c>
      <c r="G14" s="949">
        <f t="shared" si="3"/>
        <v>0</v>
      </c>
      <c r="H14" s="950">
        <f t="shared" si="4"/>
        <v>0</v>
      </c>
      <c r="I14" s="949">
        <f t="shared" si="5"/>
        <v>0</v>
      </c>
      <c r="J14" s="950">
        <f t="shared" si="6"/>
        <v>0</v>
      </c>
      <c r="K14" s="949">
        <f t="shared" si="7"/>
        <v>0</v>
      </c>
      <c r="L14" s="950">
        <f t="shared" si="8"/>
        <v>0</v>
      </c>
      <c r="M14" s="949">
        <f t="shared" si="9"/>
        <v>0</v>
      </c>
      <c r="N14" s="950">
        <f t="shared" si="10"/>
        <v>0</v>
      </c>
      <c r="O14" s="949">
        <f t="shared" si="11"/>
        <v>0</v>
      </c>
      <c r="P14" s="951">
        <f t="shared" si="12"/>
        <v>0</v>
      </c>
      <c r="Q14" s="949">
        <f t="shared" si="13"/>
        <v>0</v>
      </c>
      <c r="R14" s="951">
        <f t="shared" si="14"/>
        <v>0</v>
      </c>
      <c r="S14" s="949">
        <f t="shared" si="15"/>
        <v>0</v>
      </c>
      <c r="T14" s="952">
        <f t="shared" si="16"/>
        <v>0</v>
      </c>
      <c r="U14" s="537">
        <f t="shared" si="18"/>
        <v>0</v>
      </c>
      <c r="V14" s="539">
        <f t="shared" si="19"/>
        <v>0</v>
      </c>
      <c r="W14" s="876">
        <f>'t1'!N12</f>
        <v>0</v>
      </c>
      <c r="AH14" s="272"/>
      <c r="AI14" s="273"/>
      <c r="AJ14" s="272"/>
      <c r="AK14" s="273"/>
      <c r="AL14" s="272"/>
      <c r="AM14" s="273"/>
      <c r="AN14" s="272"/>
      <c r="AO14" s="273"/>
      <c r="AP14" s="272"/>
      <c r="AQ14" s="273"/>
      <c r="AR14" s="272"/>
      <c r="AS14" s="273"/>
      <c r="AT14" s="272"/>
      <c r="AU14" s="670"/>
      <c r="AV14" s="272"/>
      <c r="AW14" s="670"/>
      <c r="AX14" s="272"/>
      <c r="AY14" s="666"/>
      <c r="AZ14" s="537">
        <f t="shared" si="20"/>
        <v>0</v>
      </c>
      <c r="BA14" s="539">
        <f t="shared" si="21"/>
        <v>0</v>
      </c>
      <c r="BB14" s="876">
        <f>'t1'!AS12</f>
        <v>0</v>
      </c>
    </row>
    <row r="15" spans="1:56" ht="12.9" customHeight="1">
      <c r="A15" s="152" t="str">
        <f>'t1'!A13</f>
        <v>DIRIGENTE A TEMPO INDETERMINATO</v>
      </c>
      <c r="B15" s="224" t="str">
        <f>'t1'!B13</f>
        <v>0D0164</v>
      </c>
      <c r="C15" s="949">
        <f t="shared" si="17"/>
        <v>0</v>
      </c>
      <c r="D15" s="950">
        <f t="shared" si="0"/>
        <v>0</v>
      </c>
      <c r="E15" s="949">
        <f t="shared" si="1"/>
        <v>0</v>
      </c>
      <c r="F15" s="950">
        <f t="shared" si="2"/>
        <v>0</v>
      </c>
      <c r="G15" s="949">
        <f t="shared" si="3"/>
        <v>0</v>
      </c>
      <c r="H15" s="950">
        <f t="shared" si="4"/>
        <v>0</v>
      </c>
      <c r="I15" s="949">
        <f t="shared" si="5"/>
        <v>0</v>
      </c>
      <c r="J15" s="950">
        <f t="shared" si="6"/>
        <v>0</v>
      </c>
      <c r="K15" s="949">
        <f t="shared" si="7"/>
        <v>0</v>
      </c>
      <c r="L15" s="950">
        <f t="shared" si="8"/>
        <v>0</v>
      </c>
      <c r="M15" s="949">
        <f t="shared" si="9"/>
        <v>0</v>
      </c>
      <c r="N15" s="950">
        <f t="shared" si="10"/>
        <v>0</v>
      </c>
      <c r="O15" s="949">
        <f t="shared" si="11"/>
        <v>0</v>
      </c>
      <c r="P15" s="951">
        <f t="shared" si="12"/>
        <v>0</v>
      </c>
      <c r="Q15" s="949">
        <f t="shared" si="13"/>
        <v>0</v>
      </c>
      <c r="R15" s="951">
        <f t="shared" si="14"/>
        <v>0</v>
      </c>
      <c r="S15" s="949">
        <f t="shared" si="15"/>
        <v>0</v>
      </c>
      <c r="T15" s="952">
        <f t="shared" si="16"/>
        <v>0</v>
      </c>
      <c r="U15" s="537">
        <f t="shared" si="18"/>
        <v>0</v>
      </c>
      <c r="V15" s="539">
        <f t="shared" si="19"/>
        <v>0</v>
      </c>
      <c r="W15" s="876">
        <f>'t1'!N13</f>
        <v>0</v>
      </c>
      <c r="AH15" s="272"/>
      <c r="AI15" s="273"/>
      <c r="AJ15" s="272"/>
      <c r="AK15" s="273"/>
      <c r="AL15" s="272"/>
      <c r="AM15" s="273"/>
      <c r="AN15" s="272"/>
      <c r="AO15" s="273"/>
      <c r="AP15" s="272"/>
      <c r="AQ15" s="273"/>
      <c r="AR15" s="272"/>
      <c r="AS15" s="273"/>
      <c r="AT15" s="272"/>
      <c r="AU15" s="670"/>
      <c r="AV15" s="272"/>
      <c r="AW15" s="670"/>
      <c r="AX15" s="272"/>
      <c r="AY15" s="666"/>
      <c r="AZ15" s="537">
        <f t="shared" si="20"/>
        <v>0</v>
      </c>
      <c r="BA15" s="539">
        <f t="shared" si="21"/>
        <v>0</v>
      </c>
      <c r="BB15" s="876">
        <f>'t1'!AS13</f>
        <v>0</v>
      </c>
    </row>
    <row r="16" spans="1:56" ht="12.9" customHeight="1">
      <c r="A16" s="152" t="str">
        <f>'t1'!A14</f>
        <v>DIRIGENTE A TEMPO DET.TO  ART.110 C.1 TUEL</v>
      </c>
      <c r="B16" s="224" t="str">
        <f>'t1'!B14</f>
        <v>0D0165</v>
      </c>
      <c r="C16" s="949">
        <f t="shared" si="17"/>
        <v>0</v>
      </c>
      <c r="D16" s="950">
        <f t="shared" si="0"/>
        <v>0</v>
      </c>
      <c r="E16" s="949">
        <f t="shared" si="1"/>
        <v>0</v>
      </c>
      <c r="F16" s="950">
        <f t="shared" si="2"/>
        <v>0</v>
      </c>
      <c r="G16" s="949">
        <f t="shared" si="3"/>
        <v>0</v>
      </c>
      <c r="H16" s="950">
        <f t="shared" si="4"/>
        <v>0</v>
      </c>
      <c r="I16" s="949">
        <f t="shared" si="5"/>
        <v>0</v>
      </c>
      <c r="J16" s="950">
        <f t="shared" si="6"/>
        <v>0</v>
      </c>
      <c r="K16" s="949">
        <f t="shared" si="7"/>
        <v>0</v>
      </c>
      <c r="L16" s="950">
        <f t="shared" si="8"/>
        <v>0</v>
      </c>
      <c r="M16" s="949">
        <f t="shared" si="9"/>
        <v>0</v>
      </c>
      <c r="N16" s="950">
        <f t="shared" si="10"/>
        <v>0</v>
      </c>
      <c r="O16" s="949">
        <f t="shared" si="11"/>
        <v>0</v>
      </c>
      <c r="P16" s="951">
        <f t="shared" si="12"/>
        <v>0</v>
      </c>
      <c r="Q16" s="949">
        <f t="shared" si="13"/>
        <v>0</v>
      </c>
      <c r="R16" s="951">
        <f t="shared" si="14"/>
        <v>0</v>
      </c>
      <c r="S16" s="949">
        <f t="shared" si="15"/>
        <v>0</v>
      </c>
      <c r="T16" s="952">
        <f t="shared" si="16"/>
        <v>0</v>
      </c>
      <c r="U16" s="537">
        <f t="shared" si="18"/>
        <v>0</v>
      </c>
      <c r="V16" s="539">
        <f t="shared" si="19"/>
        <v>0</v>
      </c>
      <c r="W16" s="876">
        <f>'t1'!N14</f>
        <v>0</v>
      </c>
      <c r="AH16" s="272"/>
      <c r="AI16" s="273"/>
      <c r="AJ16" s="272"/>
      <c r="AK16" s="273"/>
      <c r="AL16" s="272"/>
      <c r="AM16" s="273"/>
      <c r="AN16" s="272"/>
      <c r="AO16" s="273"/>
      <c r="AP16" s="272"/>
      <c r="AQ16" s="273"/>
      <c r="AR16" s="272"/>
      <c r="AS16" s="273"/>
      <c r="AT16" s="272"/>
      <c r="AU16" s="670"/>
      <c r="AV16" s="272"/>
      <c r="AW16" s="670"/>
      <c r="AX16" s="272"/>
      <c r="AY16" s="666"/>
      <c r="AZ16" s="537">
        <f t="shared" si="20"/>
        <v>0</v>
      </c>
      <c r="BA16" s="539">
        <f t="shared" si="21"/>
        <v>0</v>
      </c>
      <c r="BB16" s="876">
        <f>'t1'!AS14</f>
        <v>0</v>
      </c>
    </row>
    <row r="17" spans="1:54" ht="12.9" customHeight="1">
      <c r="A17" s="152" t="str">
        <f>'t1'!A15</f>
        <v>ALTE SPECIALIZZ. IN D.O. art.110 c.1 TUEL</v>
      </c>
      <c r="B17" s="224" t="str">
        <f>'t1'!B15</f>
        <v>0D0I95</v>
      </c>
      <c r="C17" s="949">
        <f t="shared" si="17"/>
        <v>0</v>
      </c>
      <c r="D17" s="950">
        <f t="shared" si="0"/>
        <v>0</v>
      </c>
      <c r="E17" s="949">
        <f t="shared" si="1"/>
        <v>0</v>
      </c>
      <c r="F17" s="950">
        <f t="shared" si="2"/>
        <v>0</v>
      </c>
      <c r="G17" s="949">
        <f t="shared" si="3"/>
        <v>0</v>
      </c>
      <c r="H17" s="950">
        <f t="shared" si="4"/>
        <v>0</v>
      </c>
      <c r="I17" s="949">
        <f t="shared" si="5"/>
        <v>0</v>
      </c>
      <c r="J17" s="950">
        <f t="shared" si="6"/>
        <v>0</v>
      </c>
      <c r="K17" s="949">
        <f t="shared" si="7"/>
        <v>0</v>
      </c>
      <c r="L17" s="950">
        <f t="shared" si="8"/>
        <v>0</v>
      </c>
      <c r="M17" s="949">
        <f t="shared" si="9"/>
        <v>0</v>
      </c>
      <c r="N17" s="950">
        <f t="shared" si="10"/>
        <v>0</v>
      </c>
      <c r="O17" s="949">
        <f t="shared" si="11"/>
        <v>0</v>
      </c>
      <c r="P17" s="951">
        <f t="shared" si="12"/>
        <v>0</v>
      </c>
      <c r="Q17" s="949">
        <f t="shared" si="13"/>
        <v>0</v>
      </c>
      <c r="R17" s="951">
        <f t="shared" si="14"/>
        <v>0</v>
      </c>
      <c r="S17" s="949">
        <f t="shared" si="15"/>
        <v>0</v>
      </c>
      <c r="T17" s="952">
        <f t="shared" si="16"/>
        <v>0</v>
      </c>
      <c r="U17" s="537">
        <f t="shared" si="18"/>
        <v>0</v>
      </c>
      <c r="V17" s="539">
        <f t="shared" si="19"/>
        <v>0</v>
      </c>
      <c r="W17" s="876">
        <f>'t1'!N15</f>
        <v>0</v>
      </c>
      <c r="AH17" s="272"/>
      <c r="AI17" s="273"/>
      <c r="AJ17" s="272"/>
      <c r="AK17" s="273"/>
      <c r="AL17" s="272"/>
      <c r="AM17" s="273"/>
      <c r="AN17" s="272"/>
      <c r="AO17" s="273"/>
      <c r="AP17" s="272"/>
      <c r="AQ17" s="273"/>
      <c r="AR17" s="272"/>
      <c r="AS17" s="273"/>
      <c r="AT17" s="272"/>
      <c r="AU17" s="670"/>
      <c r="AV17" s="272"/>
      <c r="AW17" s="670"/>
      <c r="AX17" s="272"/>
      <c r="AY17" s="666"/>
      <c r="AZ17" s="537">
        <f t="shared" si="20"/>
        <v>0</v>
      </c>
      <c r="BA17" s="539">
        <f t="shared" si="21"/>
        <v>0</v>
      </c>
      <c r="BB17" s="876">
        <f>'t1'!AS15</f>
        <v>0</v>
      </c>
    </row>
    <row r="18" spans="1:54" ht="12.9" customHeight="1">
      <c r="A18" s="152" t="str">
        <f>'t1'!A16</f>
        <v>POSIZ. ECON. D6 - PROFILI ACCESSO D3</v>
      </c>
      <c r="B18" s="224" t="str">
        <f>'t1'!B16</f>
        <v>0D6A00</v>
      </c>
      <c r="C18" s="949">
        <f t="shared" si="17"/>
        <v>0</v>
      </c>
      <c r="D18" s="950">
        <f t="shared" si="0"/>
        <v>0</v>
      </c>
      <c r="E18" s="949">
        <f t="shared" si="1"/>
        <v>0</v>
      </c>
      <c r="F18" s="950">
        <f t="shared" si="2"/>
        <v>0</v>
      </c>
      <c r="G18" s="949">
        <f t="shared" si="3"/>
        <v>0</v>
      </c>
      <c r="H18" s="950">
        <f t="shared" si="4"/>
        <v>0</v>
      </c>
      <c r="I18" s="949">
        <f t="shared" si="5"/>
        <v>0</v>
      </c>
      <c r="J18" s="950">
        <f t="shared" si="6"/>
        <v>0</v>
      </c>
      <c r="K18" s="949">
        <f t="shared" si="7"/>
        <v>0</v>
      </c>
      <c r="L18" s="950">
        <f t="shared" si="8"/>
        <v>0</v>
      </c>
      <c r="M18" s="949">
        <f t="shared" si="9"/>
        <v>0</v>
      </c>
      <c r="N18" s="950">
        <f t="shared" si="10"/>
        <v>0</v>
      </c>
      <c r="O18" s="949">
        <f t="shared" si="11"/>
        <v>0</v>
      </c>
      <c r="P18" s="951">
        <f t="shared" si="12"/>
        <v>0</v>
      </c>
      <c r="Q18" s="949">
        <f t="shared" si="13"/>
        <v>0</v>
      </c>
      <c r="R18" s="951">
        <f t="shared" si="14"/>
        <v>0</v>
      </c>
      <c r="S18" s="949">
        <f t="shared" si="15"/>
        <v>0</v>
      </c>
      <c r="T18" s="952">
        <f t="shared" si="16"/>
        <v>0</v>
      </c>
      <c r="U18" s="537">
        <f t="shared" si="18"/>
        <v>0</v>
      </c>
      <c r="V18" s="539">
        <f t="shared" si="19"/>
        <v>0</v>
      </c>
      <c r="W18" s="876">
        <f>'t1'!N16</f>
        <v>0</v>
      </c>
      <c r="AH18" s="272"/>
      <c r="AI18" s="273"/>
      <c r="AJ18" s="272"/>
      <c r="AK18" s="273"/>
      <c r="AL18" s="272"/>
      <c r="AM18" s="273"/>
      <c r="AN18" s="272"/>
      <c r="AO18" s="273"/>
      <c r="AP18" s="272"/>
      <c r="AQ18" s="273"/>
      <c r="AR18" s="272"/>
      <c r="AS18" s="273"/>
      <c r="AT18" s="272"/>
      <c r="AU18" s="670"/>
      <c r="AV18" s="272"/>
      <c r="AW18" s="670"/>
      <c r="AX18" s="272"/>
      <c r="AY18" s="666"/>
      <c r="AZ18" s="537">
        <f t="shared" si="20"/>
        <v>0</v>
      </c>
      <c r="BA18" s="539">
        <f t="shared" si="21"/>
        <v>0</v>
      </c>
      <c r="BB18" s="876">
        <f>'t1'!AS16</f>
        <v>0</v>
      </c>
    </row>
    <row r="19" spans="1:54" ht="12.9" customHeight="1">
      <c r="A19" s="152" t="str">
        <f>'t1'!A17</f>
        <v>POSIZ. ECON. D6 - PROFILO ACCESSO D1</v>
      </c>
      <c r="B19" s="224" t="str">
        <f>'t1'!B17</f>
        <v>0D6000</v>
      </c>
      <c r="C19" s="949">
        <f t="shared" si="17"/>
        <v>0</v>
      </c>
      <c r="D19" s="950">
        <f t="shared" si="0"/>
        <v>0</v>
      </c>
      <c r="E19" s="949">
        <f t="shared" si="1"/>
        <v>0</v>
      </c>
      <c r="F19" s="950">
        <f t="shared" si="2"/>
        <v>0</v>
      </c>
      <c r="G19" s="949">
        <f t="shared" si="3"/>
        <v>0</v>
      </c>
      <c r="H19" s="950">
        <f t="shared" si="4"/>
        <v>0</v>
      </c>
      <c r="I19" s="949">
        <f t="shared" si="5"/>
        <v>0</v>
      </c>
      <c r="J19" s="950">
        <f t="shared" si="6"/>
        <v>0</v>
      </c>
      <c r="K19" s="949">
        <f t="shared" si="7"/>
        <v>0</v>
      </c>
      <c r="L19" s="950">
        <f t="shared" si="8"/>
        <v>0</v>
      </c>
      <c r="M19" s="949">
        <f t="shared" si="9"/>
        <v>0</v>
      </c>
      <c r="N19" s="950">
        <f t="shared" si="10"/>
        <v>0</v>
      </c>
      <c r="O19" s="949">
        <f t="shared" si="11"/>
        <v>0</v>
      </c>
      <c r="P19" s="951">
        <f t="shared" si="12"/>
        <v>0</v>
      </c>
      <c r="Q19" s="949">
        <f t="shared" si="13"/>
        <v>0</v>
      </c>
      <c r="R19" s="951">
        <f t="shared" si="14"/>
        <v>0</v>
      </c>
      <c r="S19" s="949">
        <f t="shared" si="15"/>
        <v>0</v>
      </c>
      <c r="T19" s="952">
        <f t="shared" si="16"/>
        <v>0</v>
      </c>
      <c r="U19" s="537">
        <f t="shared" si="18"/>
        <v>0</v>
      </c>
      <c r="V19" s="539">
        <f t="shared" si="19"/>
        <v>0</v>
      </c>
      <c r="W19" s="876">
        <f>'t1'!N17</f>
        <v>0</v>
      </c>
      <c r="AH19" s="272"/>
      <c r="AI19" s="273"/>
      <c r="AJ19" s="272"/>
      <c r="AK19" s="273"/>
      <c r="AL19" s="272"/>
      <c r="AM19" s="273"/>
      <c r="AN19" s="272"/>
      <c r="AO19" s="273"/>
      <c r="AP19" s="272"/>
      <c r="AQ19" s="273"/>
      <c r="AR19" s="272"/>
      <c r="AS19" s="273"/>
      <c r="AT19" s="272"/>
      <c r="AU19" s="670"/>
      <c r="AV19" s="272"/>
      <c r="AW19" s="670"/>
      <c r="AX19" s="272"/>
      <c r="AY19" s="666"/>
      <c r="AZ19" s="537">
        <f t="shared" si="20"/>
        <v>0</v>
      </c>
      <c r="BA19" s="539">
        <f t="shared" si="21"/>
        <v>0</v>
      </c>
      <c r="BB19" s="876">
        <f>'t1'!AS17</f>
        <v>0</v>
      </c>
    </row>
    <row r="20" spans="1:54" ht="12.9" customHeight="1">
      <c r="A20" s="152" t="str">
        <f>'t1'!A18</f>
        <v>POSIZ. ECON. D5 PROFILI ACCESSO D3</v>
      </c>
      <c r="B20" s="224" t="str">
        <f>'t1'!B18</f>
        <v>052486</v>
      </c>
      <c r="C20" s="949">
        <f t="shared" si="17"/>
        <v>0</v>
      </c>
      <c r="D20" s="950">
        <f t="shared" si="0"/>
        <v>0</v>
      </c>
      <c r="E20" s="949">
        <f t="shared" si="1"/>
        <v>0</v>
      </c>
      <c r="F20" s="950">
        <f t="shared" si="2"/>
        <v>0</v>
      </c>
      <c r="G20" s="949">
        <f t="shared" si="3"/>
        <v>0</v>
      </c>
      <c r="H20" s="950">
        <f t="shared" si="4"/>
        <v>0</v>
      </c>
      <c r="I20" s="949">
        <f t="shared" si="5"/>
        <v>0</v>
      </c>
      <c r="J20" s="950">
        <f t="shared" si="6"/>
        <v>0</v>
      </c>
      <c r="K20" s="949">
        <f t="shared" si="7"/>
        <v>0</v>
      </c>
      <c r="L20" s="950">
        <f t="shared" si="8"/>
        <v>0</v>
      </c>
      <c r="M20" s="949">
        <f t="shared" si="9"/>
        <v>0</v>
      </c>
      <c r="N20" s="950">
        <f t="shared" si="10"/>
        <v>0</v>
      </c>
      <c r="O20" s="949">
        <f t="shared" si="11"/>
        <v>0</v>
      </c>
      <c r="P20" s="951">
        <f t="shared" si="12"/>
        <v>0</v>
      </c>
      <c r="Q20" s="949">
        <f t="shared" si="13"/>
        <v>0</v>
      </c>
      <c r="R20" s="951">
        <f t="shared" si="14"/>
        <v>0</v>
      </c>
      <c r="S20" s="949">
        <f t="shared" si="15"/>
        <v>0</v>
      </c>
      <c r="T20" s="952">
        <f t="shared" si="16"/>
        <v>0</v>
      </c>
      <c r="U20" s="537">
        <f t="shared" si="18"/>
        <v>0</v>
      </c>
      <c r="V20" s="539">
        <f t="shared" si="19"/>
        <v>0</v>
      </c>
      <c r="W20" s="876">
        <f>'t1'!N18</f>
        <v>0</v>
      </c>
      <c r="AH20" s="272"/>
      <c r="AI20" s="273"/>
      <c r="AJ20" s="272"/>
      <c r="AK20" s="273"/>
      <c r="AL20" s="272"/>
      <c r="AM20" s="273"/>
      <c r="AN20" s="272"/>
      <c r="AO20" s="273"/>
      <c r="AP20" s="272"/>
      <c r="AQ20" s="273"/>
      <c r="AR20" s="272"/>
      <c r="AS20" s="273"/>
      <c r="AT20" s="272"/>
      <c r="AU20" s="670"/>
      <c r="AV20" s="272"/>
      <c r="AW20" s="670"/>
      <c r="AX20" s="272"/>
      <c r="AY20" s="666"/>
      <c r="AZ20" s="537">
        <f t="shared" si="20"/>
        <v>0</v>
      </c>
      <c r="BA20" s="539">
        <f t="shared" si="21"/>
        <v>0</v>
      </c>
      <c r="BB20" s="876">
        <f>'t1'!AS18</f>
        <v>0</v>
      </c>
    </row>
    <row r="21" spans="1:54" ht="12.9" customHeight="1">
      <c r="A21" s="152" t="str">
        <f>'t1'!A19</f>
        <v>POSIZ. ECON. D5 PROFILI ACCESSO D1</v>
      </c>
      <c r="B21" s="224" t="str">
        <f>'t1'!B19</f>
        <v>052487</v>
      </c>
      <c r="C21" s="949">
        <f t="shared" si="17"/>
        <v>0</v>
      </c>
      <c r="D21" s="950">
        <f t="shared" si="0"/>
        <v>0</v>
      </c>
      <c r="E21" s="949">
        <f t="shared" si="1"/>
        <v>0</v>
      </c>
      <c r="F21" s="950">
        <f t="shared" si="2"/>
        <v>0</v>
      </c>
      <c r="G21" s="949">
        <f t="shared" si="3"/>
        <v>0</v>
      </c>
      <c r="H21" s="950">
        <f t="shared" si="4"/>
        <v>0</v>
      </c>
      <c r="I21" s="949">
        <f t="shared" si="5"/>
        <v>0</v>
      </c>
      <c r="J21" s="950">
        <f t="shared" si="6"/>
        <v>0</v>
      </c>
      <c r="K21" s="949">
        <f t="shared" si="7"/>
        <v>0</v>
      </c>
      <c r="L21" s="950">
        <f t="shared" si="8"/>
        <v>0</v>
      </c>
      <c r="M21" s="949">
        <f t="shared" si="9"/>
        <v>0</v>
      </c>
      <c r="N21" s="950">
        <f t="shared" si="10"/>
        <v>0</v>
      </c>
      <c r="O21" s="949">
        <f t="shared" si="11"/>
        <v>0</v>
      </c>
      <c r="P21" s="951">
        <f t="shared" si="12"/>
        <v>0</v>
      </c>
      <c r="Q21" s="949">
        <f t="shared" si="13"/>
        <v>0</v>
      </c>
      <c r="R21" s="951">
        <f t="shared" si="14"/>
        <v>0</v>
      </c>
      <c r="S21" s="949">
        <f t="shared" si="15"/>
        <v>0</v>
      </c>
      <c r="T21" s="952">
        <f t="shared" si="16"/>
        <v>0</v>
      </c>
      <c r="U21" s="537">
        <f t="shared" si="18"/>
        <v>0</v>
      </c>
      <c r="V21" s="539">
        <f t="shared" si="19"/>
        <v>0</v>
      </c>
      <c r="W21" s="876">
        <f>'t1'!N19</f>
        <v>0</v>
      </c>
      <c r="AH21" s="272"/>
      <c r="AI21" s="273"/>
      <c r="AJ21" s="272"/>
      <c r="AK21" s="273"/>
      <c r="AL21" s="272"/>
      <c r="AM21" s="273"/>
      <c r="AN21" s="272"/>
      <c r="AO21" s="273"/>
      <c r="AP21" s="272"/>
      <c r="AQ21" s="273"/>
      <c r="AR21" s="272"/>
      <c r="AS21" s="273"/>
      <c r="AT21" s="272"/>
      <c r="AU21" s="670"/>
      <c r="AV21" s="272"/>
      <c r="AW21" s="670"/>
      <c r="AX21" s="272"/>
      <c r="AY21" s="666"/>
      <c r="AZ21" s="537">
        <f t="shared" si="20"/>
        <v>0</v>
      </c>
      <c r="BA21" s="539">
        <f t="shared" si="21"/>
        <v>0</v>
      </c>
      <c r="BB21" s="876">
        <f>'t1'!AS19</f>
        <v>0</v>
      </c>
    </row>
    <row r="22" spans="1:54" ht="12.9" customHeight="1">
      <c r="A22" s="152" t="str">
        <f>'t1'!A20</f>
        <v>POSIZ. ECON. D4 PROFILI ACCESSO D3</v>
      </c>
      <c r="B22" s="224" t="str">
        <f>'t1'!B20</f>
        <v>051488</v>
      </c>
      <c r="C22" s="949">
        <f t="shared" si="17"/>
        <v>0</v>
      </c>
      <c r="D22" s="950">
        <f t="shared" si="0"/>
        <v>0</v>
      </c>
      <c r="E22" s="949">
        <f t="shared" si="1"/>
        <v>0</v>
      </c>
      <c r="F22" s="950">
        <f t="shared" si="2"/>
        <v>0</v>
      </c>
      <c r="G22" s="949">
        <f t="shared" si="3"/>
        <v>0</v>
      </c>
      <c r="H22" s="950">
        <f t="shared" si="4"/>
        <v>0</v>
      </c>
      <c r="I22" s="949">
        <f t="shared" si="5"/>
        <v>0</v>
      </c>
      <c r="J22" s="950">
        <f t="shared" si="6"/>
        <v>0</v>
      </c>
      <c r="K22" s="949">
        <f t="shared" si="7"/>
        <v>0</v>
      </c>
      <c r="L22" s="950">
        <f t="shared" si="8"/>
        <v>0</v>
      </c>
      <c r="M22" s="949">
        <f t="shared" si="9"/>
        <v>0</v>
      </c>
      <c r="N22" s="950">
        <f t="shared" si="10"/>
        <v>0</v>
      </c>
      <c r="O22" s="949">
        <f t="shared" si="11"/>
        <v>0</v>
      </c>
      <c r="P22" s="951">
        <f t="shared" si="12"/>
        <v>0</v>
      </c>
      <c r="Q22" s="949">
        <f t="shared" si="13"/>
        <v>0</v>
      </c>
      <c r="R22" s="951">
        <f t="shared" si="14"/>
        <v>0</v>
      </c>
      <c r="S22" s="949">
        <f t="shared" si="15"/>
        <v>0</v>
      </c>
      <c r="T22" s="952">
        <f t="shared" si="16"/>
        <v>0</v>
      </c>
      <c r="U22" s="537">
        <f t="shared" si="18"/>
        <v>0</v>
      </c>
      <c r="V22" s="539">
        <f t="shared" si="19"/>
        <v>0</v>
      </c>
      <c r="W22" s="876">
        <f>'t1'!N20</f>
        <v>0</v>
      </c>
      <c r="AH22" s="272"/>
      <c r="AI22" s="273"/>
      <c r="AJ22" s="272"/>
      <c r="AK22" s="273"/>
      <c r="AL22" s="272"/>
      <c r="AM22" s="273"/>
      <c r="AN22" s="272"/>
      <c r="AO22" s="273"/>
      <c r="AP22" s="272"/>
      <c r="AQ22" s="273"/>
      <c r="AR22" s="272"/>
      <c r="AS22" s="273"/>
      <c r="AT22" s="272"/>
      <c r="AU22" s="670"/>
      <c r="AV22" s="272"/>
      <c r="AW22" s="670"/>
      <c r="AX22" s="272"/>
      <c r="AY22" s="666"/>
      <c r="AZ22" s="537">
        <f t="shared" si="20"/>
        <v>0</v>
      </c>
      <c r="BA22" s="539">
        <f t="shared" si="21"/>
        <v>0</v>
      </c>
      <c r="BB22" s="876">
        <f>'t1'!AS20</f>
        <v>0</v>
      </c>
    </row>
    <row r="23" spans="1:54" ht="12.9" customHeight="1">
      <c r="A23" s="152" t="str">
        <f>'t1'!A21</f>
        <v>POSIZ. ECON. D4 PROFILI ACCESSO D1</v>
      </c>
      <c r="B23" s="224" t="str">
        <f>'t1'!B21</f>
        <v>051489</v>
      </c>
      <c r="C23" s="949">
        <f t="shared" si="17"/>
        <v>0</v>
      </c>
      <c r="D23" s="950">
        <f t="shared" si="0"/>
        <v>0</v>
      </c>
      <c r="E23" s="949">
        <f t="shared" si="1"/>
        <v>0</v>
      </c>
      <c r="F23" s="950">
        <f t="shared" si="2"/>
        <v>0</v>
      </c>
      <c r="G23" s="949">
        <f t="shared" si="3"/>
        <v>0</v>
      </c>
      <c r="H23" s="950">
        <f t="shared" si="4"/>
        <v>0</v>
      </c>
      <c r="I23" s="949">
        <f t="shared" si="5"/>
        <v>0</v>
      </c>
      <c r="J23" s="950">
        <f t="shared" si="6"/>
        <v>0</v>
      </c>
      <c r="K23" s="949">
        <f t="shared" si="7"/>
        <v>0</v>
      </c>
      <c r="L23" s="950">
        <f t="shared" si="8"/>
        <v>0</v>
      </c>
      <c r="M23" s="949">
        <f t="shared" si="9"/>
        <v>0</v>
      </c>
      <c r="N23" s="950">
        <f t="shared" si="10"/>
        <v>0</v>
      </c>
      <c r="O23" s="949">
        <f t="shared" si="11"/>
        <v>0</v>
      </c>
      <c r="P23" s="951">
        <f t="shared" si="12"/>
        <v>0</v>
      </c>
      <c r="Q23" s="949">
        <f t="shared" si="13"/>
        <v>0</v>
      </c>
      <c r="R23" s="951">
        <f t="shared" si="14"/>
        <v>0</v>
      </c>
      <c r="S23" s="949">
        <f t="shared" si="15"/>
        <v>0</v>
      </c>
      <c r="T23" s="952">
        <f t="shared" si="16"/>
        <v>0</v>
      </c>
      <c r="U23" s="537">
        <f t="shared" si="18"/>
        <v>0</v>
      </c>
      <c r="V23" s="539">
        <f t="shared" si="19"/>
        <v>0</v>
      </c>
      <c r="W23" s="876">
        <f>'t1'!N21</f>
        <v>0</v>
      </c>
      <c r="AH23" s="272"/>
      <c r="AI23" s="273"/>
      <c r="AJ23" s="272"/>
      <c r="AK23" s="273"/>
      <c r="AL23" s="272"/>
      <c r="AM23" s="273"/>
      <c r="AN23" s="272"/>
      <c r="AO23" s="273"/>
      <c r="AP23" s="272"/>
      <c r="AQ23" s="273"/>
      <c r="AR23" s="272"/>
      <c r="AS23" s="273"/>
      <c r="AT23" s="272"/>
      <c r="AU23" s="670"/>
      <c r="AV23" s="272"/>
      <c r="AW23" s="670"/>
      <c r="AX23" s="272"/>
      <c r="AY23" s="666"/>
      <c r="AZ23" s="537">
        <f t="shared" si="20"/>
        <v>0</v>
      </c>
      <c r="BA23" s="539">
        <f t="shared" si="21"/>
        <v>0</v>
      </c>
      <c r="BB23" s="876">
        <f>'t1'!AS21</f>
        <v>0</v>
      </c>
    </row>
    <row r="24" spans="1:54" ht="12.9" customHeight="1">
      <c r="A24" s="152" t="str">
        <f>'t1'!A22</f>
        <v>POSIZIONE ECONOMICA DI ACCESSO D3</v>
      </c>
      <c r="B24" s="224" t="str">
        <f>'t1'!B22</f>
        <v>058000</v>
      </c>
      <c r="C24" s="949">
        <f t="shared" si="17"/>
        <v>0</v>
      </c>
      <c r="D24" s="950">
        <f t="shared" si="0"/>
        <v>0</v>
      </c>
      <c r="E24" s="949">
        <f t="shared" si="1"/>
        <v>0</v>
      </c>
      <c r="F24" s="950">
        <f t="shared" si="2"/>
        <v>0</v>
      </c>
      <c r="G24" s="949">
        <f t="shared" si="3"/>
        <v>0</v>
      </c>
      <c r="H24" s="950">
        <f t="shared" si="4"/>
        <v>0</v>
      </c>
      <c r="I24" s="949">
        <f t="shared" si="5"/>
        <v>0</v>
      </c>
      <c r="J24" s="950">
        <f t="shared" si="6"/>
        <v>0</v>
      </c>
      <c r="K24" s="949">
        <f t="shared" si="7"/>
        <v>0</v>
      </c>
      <c r="L24" s="950">
        <f t="shared" si="8"/>
        <v>0</v>
      </c>
      <c r="M24" s="949">
        <f t="shared" si="9"/>
        <v>0</v>
      </c>
      <c r="N24" s="950">
        <f t="shared" si="10"/>
        <v>0</v>
      </c>
      <c r="O24" s="949">
        <f t="shared" si="11"/>
        <v>0</v>
      </c>
      <c r="P24" s="951">
        <f t="shared" si="12"/>
        <v>0</v>
      </c>
      <c r="Q24" s="949">
        <f t="shared" si="13"/>
        <v>0</v>
      </c>
      <c r="R24" s="951">
        <f t="shared" si="14"/>
        <v>0</v>
      </c>
      <c r="S24" s="949">
        <f t="shared" si="15"/>
        <v>0</v>
      </c>
      <c r="T24" s="952">
        <f t="shared" si="16"/>
        <v>0</v>
      </c>
      <c r="U24" s="537">
        <f t="shared" si="18"/>
        <v>0</v>
      </c>
      <c r="V24" s="539">
        <f t="shared" si="19"/>
        <v>0</v>
      </c>
      <c r="W24" s="876">
        <f>'t1'!N22</f>
        <v>0</v>
      </c>
      <c r="AH24" s="272"/>
      <c r="AI24" s="273"/>
      <c r="AJ24" s="272"/>
      <c r="AK24" s="273"/>
      <c r="AL24" s="272"/>
      <c r="AM24" s="273"/>
      <c r="AN24" s="272"/>
      <c r="AO24" s="273"/>
      <c r="AP24" s="272"/>
      <c r="AQ24" s="273"/>
      <c r="AR24" s="272"/>
      <c r="AS24" s="273"/>
      <c r="AT24" s="272"/>
      <c r="AU24" s="670"/>
      <c r="AV24" s="272"/>
      <c r="AW24" s="670"/>
      <c r="AX24" s="272"/>
      <c r="AY24" s="666"/>
      <c r="AZ24" s="537">
        <f t="shared" si="20"/>
        <v>0</v>
      </c>
      <c r="BA24" s="539">
        <f t="shared" si="21"/>
        <v>0</v>
      </c>
      <c r="BB24" s="876">
        <f>'t1'!AS22</f>
        <v>0</v>
      </c>
    </row>
    <row r="25" spans="1:54" ht="12.9" customHeight="1">
      <c r="A25" s="152" t="str">
        <f>'t1'!A23</f>
        <v>POSIZIONE ECONOMICA D3</v>
      </c>
      <c r="B25" s="224" t="str">
        <f>'t1'!B23</f>
        <v>050000</v>
      </c>
      <c r="C25" s="949">
        <f t="shared" si="17"/>
        <v>0</v>
      </c>
      <c r="D25" s="950">
        <f t="shared" si="0"/>
        <v>0</v>
      </c>
      <c r="E25" s="949">
        <f t="shared" si="1"/>
        <v>0</v>
      </c>
      <c r="F25" s="950">
        <f t="shared" si="2"/>
        <v>0</v>
      </c>
      <c r="G25" s="949">
        <f t="shared" si="3"/>
        <v>0</v>
      </c>
      <c r="H25" s="950">
        <f t="shared" si="4"/>
        <v>0</v>
      </c>
      <c r="I25" s="949">
        <f t="shared" si="5"/>
        <v>0</v>
      </c>
      <c r="J25" s="950">
        <f t="shared" si="6"/>
        <v>0</v>
      </c>
      <c r="K25" s="949">
        <f t="shared" si="7"/>
        <v>0</v>
      </c>
      <c r="L25" s="950">
        <f t="shared" si="8"/>
        <v>0</v>
      </c>
      <c r="M25" s="949">
        <f t="shared" si="9"/>
        <v>0</v>
      </c>
      <c r="N25" s="950">
        <f t="shared" si="10"/>
        <v>0</v>
      </c>
      <c r="O25" s="949">
        <f t="shared" si="11"/>
        <v>0</v>
      </c>
      <c r="P25" s="951">
        <f t="shared" si="12"/>
        <v>0</v>
      </c>
      <c r="Q25" s="949">
        <f t="shared" si="13"/>
        <v>0</v>
      </c>
      <c r="R25" s="951">
        <f t="shared" si="14"/>
        <v>0</v>
      </c>
      <c r="S25" s="949">
        <f t="shared" si="15"/>
        <v>0</v>
      </c>
      <c r="T25" s="952">
        <f t="shared" si="16"/>
        <v>0</v>
      </c>
      <c r="U25" s="537">
        <f t="shared" si="18"/>
        <v>0</v>
      </c>
      <c r="V25" s="539">
        <f t="shared" si="19"/>
        <v>0</v>
      </c>
      <c r="W25" s="876">
        <f>'t1'!N23</f>
        <v>0</v>
      </c>
      <c r="AH25" s="272"/>
      <c r="AI25" s="273"/>
      <c r="AJ25" s="272"/>
      <c r="AK25" s="273"/>
      <c r="AL25" s="272"/>
      <c r="AM25" s="273"/>
      <c r="AN25" s="272"/>
      <c r="AO25" s="273"/>
      <c r="AP25" s="272"/>
      <c r="AQ25" s="273"/>
      <c r="AR25" s="272"/>
      <c r="AS25" s="273"/>
      <c r="AT25" s="272"/>
      <c r="AU25" s="670"/>
      <c r="AV25" s="272"/>
      <c r="AW25" s="670"/>
      <c r="AX25" s="272"/>
      <c r="AY25" s="666"/>
      <c r="AZ25" s="537">
        <f t="shared" si="20"/>
        <v>0</v>
      </c>
      <c r="BA25" s="539">
        <f t="shared" si="21"/>
        <v>0</v>
      </c>
      <c r="BB25" s="876">
        <f>'t1'!AS23</f>
        <v>0</v>
      </c>
    </row>
    <row r="26" spans="1:54" ht="12.9" customHeight="1">
      <c r="A26" s="152" t="str">
        <f>'t1'!A24</f>
        <v>POSIZIONE ECONOMICA D2</v>
      </c>
      <c r="B26" s="224" t="str">
        <f>'t1'!B24</f>
        <v>049000</v>
      </c>
      <c r="C26" s="949">
        <f t="shared" si="17"/>
        <v>0</v>
      </c>
      <c r="D26" s="950">
        <f t="shared" si="0"/>
        <v>22</v>
      </c>
      <c r="E26" s="949">
        <f t="shared" si="1"/>
        <v>0</v>
      </c>
      <c r="F26" s="950">
        <f t="shared" si="2"/>
        <v>0</v>
      </c>
      <c r="G26" s="949">
        <f t="shared" si="3"/>
        <v>0</v>
      </c>
      <c r="H26" s="950">
        <f t="shared" si="4"/>
        <v>0</v>
      </c>
      <c r="I26" s="949">
        <f t="shared" si="5"/>
        <v>0</v>
      </c>
      <c r="J26" s="950">
        <f t="shared" si="6"/>
        <v>0</v>
      </c>
      <c r="K26" s="949">
        <f t="shared" si="7"/>
        <v>0</v>
      </c>
      <c r="L26" s="950">
        <f t="shared" si="8"/>
        <v>0</v>
      </c>
      <c r="M26" s="949">
        <f t="shared" si="9"/>
        <v>0</v>
      </c>
      <c r="N26" s="950">
        <f t="shared" si="10"/>
        <v>1</v>
      </c>
      <c r="O26" s="949">
        <f t="shared" si="11"/>
        <v>0</v>
      </c>
      <c r="P26" s="951">
        <f t="shared" si="12"/>
        <v>0</v>
      </c>
      <c r="Q26" s="949">
        <f t="shared" si="13"/>
        <v>0</v>
      </c>
      <c r="R26" s="951">
        <f t="shared" si="14"/>
        <v>0</v>
      </c>
      <c r="S26" s="949">
        <f t="shared" si="15"/>
        <v>0</v>
      </c>
      <c r="T26" s="952">
        <f t="shared" si="16"/>
        <v>2</v>
      </c>
      <c r="U26" s="537">
        <f t="shared" si="18"/>
        <v>0</v>
      </c>
      <c r="V26" s="539">
        <f t="shared" si="19"/>
        <v>25</v>
      </c>
      <c r="W26" s="876">
        <f>'t1'!N24</f>
        <v>0</v>
      </c>
      <c r="AH26" s="272"/>
      <c r="AI26" s="273">
        <v>22</v>
      </c>
      <c r="AJ26" s="272"/>
      <c r="AK26" s="273"/>
      <c r="AL26" s="272"/>
      <c r="AM26" s="273"/>
      <c r="AN26" s="272"/>
      <c r="AO26" s="273"/>
      <c r="AP26" s="272"/>
      <c r="AQ26" s="273"/>
      <c r="AR26" s="272"/>
      <c r="AS26" s="273">
        <v>1</v>
      </c>
      <c r="AT26" s="272"/>
      <c r="AU26" s="670"/>
      <c r="AV26" s="272"/>
      <c r="AW26" s="670"/>
      <c r="AX26" s="272"/>
      <c r="AY26" s="666">
        <v>2</v>
      </c>
      <c r="AZ26" s="537">
        <f t="shared" si="20"/>
        <v>0</v>
      </c>
      <c r="BA26" s="539">
        <f t="shared" si="21"/>
        <v>25</v>
      </c>
      <c r="BB26" s="876">
        <f>'t1'!AS24</f>
        <v>0</v>
      </c>
    </row>
    <row r="27" spans="1:54" ht="12.9" customHeight="1">
      <c r="A27" s="152" t="str">
        <f>'t1'!A25</f>
        <v>POSIZIONE ECONOMICA DI ACCESSO D1</v>
      </c>
      <c r="B27" s="224" t="str">
        <f>'t1'!B25</f>
        <v>057000</v>
      </c>
      <c r="C27" s="949">
        <f t="shared" si="17"/>
        <v>0</v>
      </c>
      <c r="D27" s="950">
        <f t="shared" si="0"/>
        <v>0</v>
      </c>
      <c r="E27" s="949">
        <f t="shared" si="1"/>
        <v>0</v>
      </c>
      <c r="F27" s="950">
        <f t="shared" si="2"/>
        <v>0</v>
      </c>
      <c r="G27" s="949">
        <f t="shared" si="3"/>
        <v>0</v>
      </c>
      <c r="H27" s="950">
        <f t="shared" si="4"/>
        <v>0</v>
      </c>
      <c r="I27" s="949">
        <f t="shared" si="5"/>
        <v>0</v>
      </c>
      <c r="J27" s="950">
        <f t="shared" si="6"/>
        <v>0</v>
      </c>
      <c r="K27" s="949">
        <f t="shared" si="7"/>
        <v>0</v>
      </c>
      <c r="L27" s="950">
        <f t="shared" si="8"/>
        <v>0</v>
      </c>
      <c r="M27" s="949">
        <f t="shared" si="9"/>
        <v>0</v>
      </c>
      <c r="N27" s="950">
        <f t="shared" si="10"/>
        <v>0</v>
      </c>
      <c r="O27" s="949">
        <f t="shared" si="11"/>
        <v>0</v>
      </c>
      <c r="P27" s="951">
        <f t="shared" si="12"/>
        <v>0</v>
      </c>
      <c r="Q27" s="949">
        <f t="shared" si="13"/>
        <v>0</v>
      </c>
      <c r="R27" s="951">
        <f t="shared" si="14"/>
        <v>0</v>
      </c>
      <c r="S27" s="949">
        <f t="shared" si="15"/>
        <v>0</v>
      </c>
      <c r="T27" s="952">
        <f t="shared" si="16"/>
        <v>0</v>
      </c>
      <c r="U27" s="537">
        <f t="shared" si="18"/>
        <v>0</v>
      </c>
      <c r="V27" s="539">
        <f t="shared" si="19"/>
        <v>0</v>
      </c>
      <c r="W27" s="876">
        <f>'t1'!N25</f>
        <v>1</v>
      </c>
      <c r="AH27" s="272"/>
      <c r="AI27" s="273"/>
      <c r="AJ27" s="272"/>
      <c r="AK27" s="273"/>
      <c r="AL27" s="272"/>
      <c r="AM27" s="273"/>
      <c r="AN27" s="272"/>
      <c r="AO27" s="273"/>
      <c r="AP27" s="272"/>
      <c r="AQ27" s="273"/>
      <c r="AR27" s="272"/>
      <c r="AS27" s="273"/>
      <c r="AT27" s="272"/>
      <c r="AU27" s="670"/>
      <c r="AV27" s="272"/>
      <c r="AW27" s="670"/>
      <c r="AX27" s="272"/>
      <c r="AY27" s="666"/>
      <c r="AZ27" s="537">
        <f t="shared" si="20"/>
        <v>0</v>
      </c>
      <c r="BA27" s="539">
        <f t="shared" si="21"/>
        <v>0</v>
      </c>
      <c r="BB27" s="876">
        <f>'t1'!AS25</f>
        <v>0</v>
      </c>
    </row>
    <row r="28" spans="1:54" ht="12.9" customHeight="1">
      <c r="A28" s="152" t="str">
        <f>'t1'!A26</f>
        <v>POSIZIONE ECONOMICA C5</v>
      </c>
      <c r="B28" s="224" t="str">
        <f>'t1'!B26</f>
        <v>046000</v>
      </c>
      <c r="C28" s="949">
        <f t="shared" si="17"/>
        <v>0</v>
      </c>
      <c r="D28" s="950">
        <f t="shared" si="0"/>
        <v>0</v>
      </c>
      <c r="E28" s="949">
        <f t="shared" si="1"/>
        <v>0</v>
      </c>
      <c r="F28" s="950">
        <f t="shared" si="2"/>
        <v>0</v>
      </c>
      <c r="G28" s="949">
        <f t="shared" si="3"/>
        <v>0</v>
      </c>
      <c r="H28" s="950">
        <f t="shared" si="4"/>
        <v>0</v>
      </c>
      <c r="I28" s="949">
        <f t="shared" si="5"/>
        <v>0</v>
      </c>
      <c r="J28" s="950">
        <f t="shared" si="6"/>
        <v>0</v>
      </c>
      <c r="K28" s="949">
        <f t="shared" si="7"/>
        <v>0</v>
      </c>
      <c r="L28" s="950">
        <f t="shared" si="8"/>
        <v>0</v>
      </c>
      <c r="M28" s="949">
        <f t="shared" si="9"/>
        <v>0</v>
      </c>
      <c r="N28" s="950">
        <f t="shared" si="10"/>
        <v>0</v>
      </c>
      <c r="O28" s="949">
        <f t="shared" si="11"/>
        <v>0</v>
      </c>
      <c r="P28" s="951">
        <f t="shared" si="12"/>
        <v>0</v>
      </c>
      <c r="Q28" s="949">
        <f t="shared" si="13"/>
        <v>0</v>
      </c>
      <c r="R28" s="951">
        <f t="shared" si="14"/>
        <v>0</v>
      </c>
      <c r="S28" s="949">
        <f t="shared" si="15"/>
        <v>0</v>
      </c>
      <c r="T28" s="952">
        <f t="shared" si="16"/>
        <v>0</v>
      </c>
      <c r="U28" s="537">
        <f t="shared" si="18"/>
        <v>0</v>
      </c>
      <c r="V28" s="539">
        <f t="shared" si="19"/>
        <v>0</v>
      </c>
      <c r="W28" s="876">
        <f>'t1'!N26</f>
        <v>0</v>
      </c>
      <c r="AH28" s="272"/>
      <c r="AI28" s="273"/>
      <c r="AJ28" s="272"/>
      <c r="AK28" s="273"/>
      <c r="AL28" s="272"/>
      <c r="AM28" s="273"/>
      <c r="AN28" s="272"/>
      <c r="AO28" s="273"/>
      <c r="AP28" s="272"/>
      <c r="AQ28" s="273"/>
      <c r="AR28" s="272"/>
      <c r="AS28" s="273"/>
      <c r="AT28" s="272"/>
      <c r="AU28" s="670"/>
      <c r="AV28" s="272"/>
      <c r="AW28" s="670"/>
      <c r="AX28" s="272"/>
      <c r="AY28" s="666"/>
      <c r="AZ28" s="537">
        <f t="shared" si="20"/>
        <v>0</v>
      </c>
      <c r="BA28" s="539">
        <f t="shared" si="21"/>
        <v>0</v>
      </c>
      <c r="BB28" s="876">
        <f>'t1'!AS26</f>
        <v>0</v>
      </c>
    </row>
    <row r="29" spans="1:54" ht="12.9" customHeight="1">
      <c r="A29" s="152" t="str">
        <f>'t1'!A27</f>
        <v>POSIZIONE ECONOMICA C4</v>
      </c>
      <c r="B29" s="224" t="str">
        <f>'t1'!B27</f>
        <v>045000</v>
      </c>
      <c r="C29" s="949">
        <f t="shared" si="17"/>
        <v>0</v>
      </c>
      <c r="D29" s="950">
        <f t="shared" si="0"/>
        <v>0</v>
      </c>
      <c r="E29" s="949">
        <f t="shared" si="1"/>
        <v>0</v>
      </c>
      <c r="F29" s="950">
        <f t="shared" si="2"/>
        <v>0</v>
      </c>
      <c r="G29" s="949">
        <f t="shared" si="3"/>
        <v>0</v>
      </c>
      <c r="H29" s="950">
        <f t="shared" si="4"/>
        <v>0</v>
      </c>
      <c r="I29" s="949">
        <f t="shared" si="5"/>
        <v>0</v>
      </c>
      <c r="J29" s="950">
        <f t="shared" si="6"/>
        <v>0</v>
      </c>
      <c r="K29" s="949">
        <f t="shared" si="7"/>
        <v>0</v>
      </c>
      <c r="L29" s="950">
        <f t="shared" si="8"/>
        <v>0</v>
      </c>
      <c r="M29" s="949">
        <f t="shared" si="9"/>
        <v>0</v>
      </c>
      <c r="N29" s="950">
        <f t="shared" si="10"/>
        <v>0</v>
      </c>
      <c r="O29" s="949">
        <f t="shared" si="11"/>
        <v>0</v>
      </c>
      <c r="P29" s="951">
        <f t="shared" si="12"/>
        <v>0</v>
      </c>
      <c r="Q29" s="949">
        <f t="shared" si="13"/>
        <v>0</v>
      </c>
      <c r="R29" s="951">
        <f t="shared" si="14"/>
        <v>0</v>
      </c>
      <c r="S29" s="949">
        <f t="shared" si="15"/>
        <v>0</v>
      </c>
      <c r="T29" s="952">
        <f t="shared" si="16"/>
        <v>0</v>
      </c>
      <c r="U29" s="537">
        <f t="shared" si="18"/>
        <v>0</v>
      </c>
      <c r="V29" s="539">
        <f t="shared" si="19"/>
        <v>0</v>
      </c>
      <c r="W29" s="876">
        <f>'t1'!N27</f>
        <v>0</v>
      </c>
      <c r="AH29" s="272"/>
      <c r="AI29" s="273"/>
      <c r="AJ29" s="272"/>
      <c r="AK29" s="273"/>
      <c r="AL29" s="272"/>
      <c r="AM29" s="273"/>
      <c r="AN29" s="272"/>
      <c r="AO29" s="273"/>
      <c r="AP29" s="272"/>
      <c r="AQ29" s="273"/>
      <c r="AR29" s="272"/>
      <c r="AS29" s="273"/>
      <c r="AT29" s="272"/>
      <c r="AU29" s="670"/>
      <c r="AV29" s="272"/>
      <c r="AW29" s="670"/>
      <c r="AX29" s="272"/>
      <c r="AY29" s="666"/>
      <c r="AZ29" s="537">
        <f t="shared" si="20"/>
        <v>0</v>
      </c>
      <c r="BA29" s="539">
        <f t="shared" si="21"/>
        <v>0</v>
      </c>
      <c r="BB29" s="876">
        <f>'t1'!AS27</f>
        <v>0</v>
      </c>
    </row>
    <row r="30" spans="1:54" ht="12.9" customHeight="1">
      <c r="A30" s="152" t="str">
        <f>'t1'!A28</f>
        <v>POSIZIONE ECONOMICA C3</v>
      </c>
      <c r="B30" s="224" t="str">
        <f>'t1'!B28</f>
        <v>043000</v>
      </c>
      <c r="C30" s="949">
        <f t="shared" si="17"/>
        <v>0</v>
      </c>
      <c r="D30" s="950">
        <f t="shared" si="0"/>
        <v>0</v>
      </c>
      <c r="E30" s="949">
        <f t="shared" si="1"/>
        <v>0</v>
      </c>
      <c r="F30" s="950">
        <f t="shared" si="2"/>
        <v>0</v>
      </c>
      <c r="G30" s="949">
        <f t="shared" si="3"/>
        <v>0</v>
      </c>
      <c r="H30" s="950">
        <f t="shared" si="4"/>
        <v>0</v>
      </c>
      <c r="I30" s="949">
        <f t="shared" si="5"/>
        <v>0</v>
      </c>
      <c r="J30" s="950">
        <f t="shared" si="6"/>
        <v>0</v>
      </c>
      <c r="K30" s="949">
        <f t="shared" si="7"/>
        <v>0</v>
      </c>
      <c r="L30" s="950">
        <f t="shared" si="8"/>
        <v>0</v>
      </c>
      <c r="M30" s="949">
        <f t="shared" si="9"/>
        <v>0</v>
      </c>
      <c r="N30" s="950">
        <f t="shared" si="10"/>
        <v>0</v>
      </c>
      <c r="O30" s="949">
        <f t="shared" si="11"/>
        <v>0</v>
      </c>
      <c r="P30" s="951">
        <f t="shared" si="12"/>
        <v>0</v>
      </c>
      <c r="Q30" s="949">
        <f t="shared" si="13"/>
        <v>0</v>
      </c>
      <c r="R30" s="951">
        <f t="shared" si="14"/>
        <v>0</v>
      </c>
      <c r="S30" s="949">
        <f t="shared" si="15"/>
        <v>0</v>
      </c>
      <c r="T30" s="952">
        <f t="shared" si="16"/>
        <v>0</v>
      </c>
      <c r="U30" s="537">
        <f t="shared" si="18"/>
        <v>0</v>
      </c>
      <c r="V30" s="539">
        <f t="shared" si="19"/>
        <v>0</v>
      </c>
      <c r="W30" s="876">
        <f>'t1'!N28</f>
        <v>0</v>
      </c>
      <c r="AH30" s="272"/>
      <c r="AI30" s="273"/>
      <c r="AJ30" s="272"/>
      <c r="AK30" s="273"/>
      <c r="AL30" s="272"/>
      <c r="AM30" s="273"/>
      <c r="AN30" s="272"/>
      <c r="AO30" s="273"/>
      <c r="AP30" s="272"/>
      <c r="AQ30" s="273"/>
      <c r="AR30" s="272"/>
      <c r="AS30" s="273"/>
      <c r="AT30" s="272"/>
      <c r="AU30" s="670"/>
      <c r="AV30" s="272"/>
      <c r="AW30" s="670"/>
      <c r="AX30" s="272"/>
      <c r="AY30" s="666"/>
      <c r="AZ30" s="537">
        <f t="shared" si="20"/>
        <v>0</v>
      </c>
      <c r="BA30" s="539">
        <f t="shared" si="21"/>
        <v>0</v>
      </c>
      <c r="BB30" s="876">
        <f>'t1'!AS28</f>
        <v>0</v>
      </c>
    </row>
    <row r="31" spans="1:54" ht="12.9" customHeight="1">
      <c r="A31" s="152" t="str">
        <f>'t1'!A29</f>
        <v>POSIZIONE ECONOMICA C2</v>
      </c>
      <c r="B31" s="224" t="str">
        <f>'t1'!B29</f>
        <v>042000</v>
      </c>
      <c r="C31" s="949">
        <f t="shared" si="17"/>
        <v>0</v>
      </c>
      <c r="D31" s="950">
        <f t="shared" si="0"/>
        <v>34</v>
      </c>
      <c r="E31" s="949">
        <f t="shared" si="1"/>
        <v>0</v>
      </c>
      <c r="F31" s="950">
        <f t="shared" si="2"/>
        <v>2</v>
      </c>
      <c r="G31" s="949">
        <f t="shared" si="3"/>
        <v>0</v>
      </c>
      <c r="H31" s="950">
        <f t="shared" si="4"/>
        <v>0</v>
      </c>
      <c r="I31" s="949">
        <f t="shared" si="5"/>
        <v>0</v>
      </c>
      <c r="J31" s="950">
        <f t="shared" si="6"/>
        <v>0</v>
      </c>
      <c r="K31" s="949">
        <f t="shared" si="7"/>
        <v>0</v>
      </c>
      <c r="L31" s="950">
        <f t="shared" si="8"/>
        <v>0</v>
      </c>
      <c r="M31" s="949">
        <f t="shared" si="9"/>
        <v>0</v>
      </c>
      <c r="N31" s="950">
        <f t="shared" si="10"/>
        <v>0</v>
      </c>
      <c r="O31" s="949">
        <f t="shared" si="11"/>
        <v>0</v>
      </c>
      <c r="P31" s="951">
        <f t="shared" si="12"/>
        <v>0</v>
      </c>
      <c r="Q31" s="949">
        <f t="shared" si="13"/>
        <v>0</v>
      </c>
      <c r="R31" s="951">
        <f t="shared" si="14"/>
        <v>0</v>
      </c>
      <c r="S31" s="949">
        <f t="shared" si="15"/>
        <v>0</v>
      </c>
      <c r="T31" s="952">
        <f t="shared" si="16"/>
        <v>6</v>
      </c>
      <c r="U31" s="537">
        <f t="shared" si="18"/>
        <v>0</v>
      </c>
      <c r="V31" s="539">
        <f t="shared" si="19"/>
        <v>42</v>
      </c>
      <c r="W31" s="876">
        <f>'t1'!N29</f>
        <v>1</v>
      </c>
      <c r="AH31" s="272"/>
      <c r="AI31" s="273">
        <v>34</v>
      </c>
      <c r="AJ31" s="272"/>
      <c r="AK31" s="273">
        <v>2</v>
      </c>
      <c r="AL31" s="272"/>
      <c r="AM31" s="273"/>
      <c r="AN31" s="272"/>
      <c r="AO31" s="273"/>
      <c r="AP31" s="272"/>
      <c r="AQ31" s="273"/>
      <c r="AR31" s="272"/>
      <c r="AS31" s="273"/>
      <c r="AT31" s="272"/>
      <c r="AU31" s="670"/>
      <c r="AV31" s="272"/>
      <c r="AW31" s="670"/>
      <c r="AX31" s="272"/>
      <c r="AY31" s="666">
        <v>6</v>
      </c>
      <c r="AZ31" s="537">
        <f t="shared" si="20"/>
        <v>0</v>
      </c>
      <c r="BA31" s="539">
        <f t="shared" si="21"/>
        <v>42</v>
      </c>
      <c r="BB31" s="876">
        <f>'t1'!AS29</f>
        <v>0</v>
      </c>
    </row>
    <row r="32" spans="1:54" ht="12.9" customHeight="1">
      <c r="A32" s="152" t="str">
        <f>'t1'!A30</f>
        <v>POSIZIONE ECONOMICA DI ACCESSO C1</v>
      </c>
      <c r="B32" s="224" t="str">
        <f>'t1'!B30</f>
        <v>056000</v>
      </c>
      <c r="C32" s="949">
        <f t="shared" si="17"/>
        <v>0</v>
      </c>
      <c r="D32" s="950">
        <f t="shared" si="0"/>
        <v>52</v>
      </c>
      <c r="E32" s="949">
        <f t="shared" si="1"/>
        <v>0</v>
      </c>
      <c r="F32" s="950">
        <f t="shared" si="2"/>
        <v>36</v>
      </c>
      <c r="G32" s="949">
        <f t="shared" si="3"/>
        <v>0</v>
      </c>
      <c r="H32" s="950">
        <f t="shared" si="4"/>
        <v>0</v>
      </c>
      <c r="I32" s="949">
        <f t="shared" si="5"/>
        <v>0</v>
      </c>
      <c r="J32" s="950">
        <f t="shared" si="6"/>
        <v>0</v>
      </c>
      <c r="K32" s="949">
        <f t="shared" si="7"/>
        <v>0</v>
      </c>
      <c r="L32" s="950">
        <f t="shared" si="8"/>
        <v>0</v>
      </c>
      <c r="M32" s="949">
        <f t="shared" si="9"/>
        <v>0</v>
      </c>
      <c r="N32" s="950">
        <f t="shared" si="10"/>
        <v>2</v>
      </c>
      <c r="O32" s="949">
        <f t="shared" si="11"/>
        <v>0</v>
      </c>
      <c r="P32" s="951">
        <f t="shared" si="12"/>
        <v>0</v>
      </c>
      <c r="Q32" s="949">
        <f t="shared" si="13"/>
        <v>0</v>
      </c>
      <c r="R32" s="951">
        <f t="shared" si="14"/>
        <v>0</v>
      </c>
      <c r="S32" s="949">
        <f t="shared" si="15"/>
        <v>0</v>
      </c>
      <c r="T32" s="952">
        <f t="shared" si="16"/>
        <v>13</v>
      </c>
      <c r="U32" s="537">
        <f t="shared" si="18"/>
        <v>0</v>
      </c>
      <c r="V32" s="539">
        <f t="shared" si="19"/>
        <v>103</v>
      </c>
      <c r="W32" s="876">
        <f>'t1'!N30</f>
        <v>1</v>
      </c>
      <c r="AH32" s="272"/>
      <c r="AI32" s="273">
        <v>52</v>
      </c>
      <c r="AJ32" s="272"/>
      <c r="AK32" s="273">
        <v>36</v>
      </c>
      <c r="AL32" s="272"/>
      <c r="AM32" s="273"/>
      <c r="AN32" s="272"/>
      <c r="AO32" s="273"/>
      <c r="AP32" s="272"/>
      <c r="AQ32" s="273"/>
      <c r="AR32" s="272"/>
      <c r="AS32" s="273">
        <v>2</v>
      </c>
      <c r="AT32" s="272"/>
      <c r="AU32" s="670"/>
      <c r="AV32" s="272"/>
      <c r="AW32" s="670"/>
      <c r="AX32" s="272"/>
      <c r="AY32" s="666">
        <v>13</v>
      </c>
      <c r="AZ32" s="537">
        <f t="shared" si="20"/>
        <v>0</v>
      </c>
      <c r="BA32" s="539">
        <f t="shared" si="21"/>
        <v>103</v>
      </c>
      <c r="BB32" s="876">
        <f>'t1'!AS30</f>
        <v>0</v>
      </c>
    </row>
    <row r="33" spans="1:54" ht="12.9" customHeight="1">
      <c r="A33" s="152" t="str">
        <f>'t1'!A31</f>
        <v>POSIZ. ECON. B7 - PROFILO ACCESSO B3</v>
      </c>
      <c r="B33" s="224" t="str">
        <f>'t1'!B31</f>
        <v>0B7A00</v>
      </c>
      <c r="C33" s="949">
        <f t="shared" si="17"/>
        <v>0</v>
      </c>
      <c r="D33" s="950">
        <f t="shared" si="0"/>
        <v>0</v>
      </c>
      <c r="E33" s="949">
        <f t="shared" si="1"/>
        <v>0</v>
      </c>
      <c r="F33" s="950">
        <f t="shared" si="2"/>
        <v>0</v>
      </c>
      <c r="G33" s="949">
        <f t="shared" si="3"/>
        <v>0</v>
      </c>
      <c r="H33" s="950">
        <f t="shared" si="4"/>
        <v>0</v>
      </c>
      <c r="I33" s="949">
        <f t="shared" si="5"/>
        <v>0</v>
      </c>
      <c r="J33" s="950">
        <f t="shared" si="6"/>
        <v>0</v>
      </c>
      <c r="K33" s="949">
        <f t="shared" si="7"/>
        <v>0</v>
      </c>
      <c r="L33" s="950">
        <f t="shared" si="8"/>
        <v>0</v>
      </c>
      <c r="M33" s="949">
        <f t="shared" si="9"/>
        <v>0</v>
      </c>
      <c r="N33" s="950">
        <f t="shared" si="10"/>
        <v>0</v>
      </c>
      <c r="O33" s="949">
        <f t="shared" si="11"/>
        <v>0</v>
      </c>
      <c r="P33" s="951">
        <f t="shared" si="12"/>
        <v>0</v>
      </c>
      <c r="Q33" s="949">
        <f t="shared" si="13"/>
        <v>0</v>
      </c>
      <c r="R33" s="951">
        <f t="shared" si="14"/>
        <v>0</v>
      </c>
      <c r="S33" s="949">
        <f t="shared" si="15"/>
        <v>0</v>
      </c>
      <c r="T33" s="952">
        <f t="shared" si="16"/>
        <v>0</v>
      </c>
      <c r="U33" s="537">
        <f t="shared" si="18"/>
        <v>0</v>
      </c>
      <c r="V33" s="539">
        <f t="shared" si="19"/>
        <v>0</v>
      </c>
      <c r="W33" s="876">
        <f>'t1'!N31</f>
        <v>0</v>
      </c>
      <c r="AH33" s="272"/>
      <c r="AI33" s="273"/>
      <c r="AJ33" s="272"/>
      <c r="AK33" s="273"/>
      <c r="AL33" s="272"/>
      <c r="AM33" s="273"/>
      <c r="AN33" s="272"/>
      <c r="AO33" s="273"/>
      <c r="AP33" s="272"/>
      <c r="AQ33" s="273"/>
      <c r="AR33" s="272"/>
      <c r="AS33" s="273"/>
      <c r="AT33" s="272"/>
      <c r="AU33" s="670"/>
      <c r="AV33" s="272"/>
      <c r="AW33" s="670"/>
      <c r="AX33" s="272"/>
      <c r="AY33" s="666"/>
      <c r="AZ33" s="537">
        <f t="shared" si="20"/>
        <v>0</v>
      </c>
      <c r="BA33" s="539">
        <f t="shared" si="21"/>
        <v>0</v>
      </c>
      <c r="BB33" s="876">
        <f>'t1'!AS31</f>
        <v>0</v>
      </c>
    </row>
    <row r="34" spans="1:54" ht="12.9" customHeight="1">
      <c r="A34" s="152" t="str">
        <f>'t1'!A32</f>
        <v>POSIZ. ECON. B7 - PROFILO  ACCESSO B1</v>
      </c>
      <c r="B34" s="224" t="str">
        <f>'t1'!B32</f>
        <v>0B7000</v>
      </c>
      <c r="C34" s="949">
        <f t="shared" si="17"/>
        <v>0</v>
      </c>
      <c r="D34" s="950">
        <f t="shared" si="0"/>
        <v>0</v>
      </c>
      <c r="E34" s="949">
        <f t="shared" si="1"/>
        <v>0</v>
      </c>
      <c r="F34" s="950">
        <f t="shared" si="2"/>
        <v>0</v>
      </c>
      <c r="G34" s="949">
        <f t="shared" si="3"/>
        <v>0</v>
      </c>
      <c r="H34" s="950">
        <f t="shared" si="4"/>
        <v>0</v>
      </c>
      <c r="I34" s="949">
        <f t="shared" si="5"/>
        <v>0</v>
      </c>
      <c r="J34" s="950">
        <f t="shared" si="6"/>
        <v>0</v>
      </c>
      <c r="K34" s="949">
        <f t="shared" si="7"/>
        <v>0</v>
      </c>
      <c r="L34" s="950">
        <f t="shared" si="8"/>
        <v>0</v>
      </c>
      <c r="M34" s="949">
        <f t="shared" si="9"/>
        <v>0</v>
      </c>
      <c r="N34" s="950">
        <f t="shared" si="10"/>
        <v>0</v>
      </c>
      <c r="O34" s="949">
        <f t="shared" si="11"/>
        <v>0</v>
      </c>
      <c r="P34" s="951">
        <f t="shared" si="12"/>
        <v>0</v>
      </c>
      <c r="Q34" s="949">
        <f t="shared" si="13"/>
        <v>0</v>
      </c>
      <c r="R34" s="951">
        <f t="shared" si="14"/>
        <v>0</v>
      </c>
      <c r="S34" s="949">
        <f t="shared" si="15"/>
        <v>0</v>
      </c>
      <c r="T34" s="952">
        <f t="shared" si="16"/>
        <v>0</v>
      </c>
      <c r="U34" s="537">
        <f t="shared" si="18"/>
        <v>0</v>
      </c>
      <c r="V34" s="539">
        <f t="shared" si="19"/>
        <v>0</v>
      </c>
      <c r="W34" s="876">
        <f>'t1'!N32</f>
        <v>0</v>
      </c>
      <c r="AH34" s="272"/>
      <c r="AI34" s="273"/>
      <c r="AJ34" s="272"/>
      <c r="AK34" s="273"/>
      <c r="AL34" s="272"/>
      <c r="AM34" s="273"/>
      <c r="AN34" s="272"/>
      <c r="AO34" s="273"/>
      <c r="AP34" s="272"/>
      <c r="AQ34" s="273"/>
      <c r="AR34" s="272"/>
      <c r="AS34" s="273"/>
      <c r="AT34" s="272"/>
      <c r="AU34" s="670"/>
      <c r="AV34" s="272"/>
      <c r="AW34" s="670"/>
      <c r="AX34" s="272"/>
      <c r="AY34" s="666"/>
      <c r="AZ34" s="537">
        <f t="shared" si="20"/>
        <v>0</v>
      </c>
      <c r="BA34" s="539">
        <f t="shared" si="21"/>
        <v>0</v>
      </c>
      <c r="BB34" s="876">
        <f>'t1'!AS32</f>
        <v>0</v>
      </c>
    </row>
    <row r="35" spans="1:54" ht="12.9" customHeight="1">
      <c r="A35" s="152" t="str">
        <f>'t1'!A33</f>
        <v>POSIZ. ECON. B6 PROFILI ACCESSO B3</v>
      </c>
      <c r="B35" s="224" t="str">
        <f>'t1'!B33</f>
        <v>038490</v>
      </c>
      <c r="C35" s="949">
        <f t="shared" si="17"/>
        <v>0</v>
      </c>
      <c r="D35" s="950">
        <f t="shared" si="0"/>
        <v>0</v>
      </c>
      <c r="E35" s="949">
        <f t="shared" si="1"/>
        <v>0</v>
      </c>
      <c r="F35" s="950">
        <f t="shared" si="2"/>
        <v>0</v>
      </c>
      <c r="G35" s="949">
        <f t="shared" si="3"/>
        <v>0</v>
      </c>
      <c r="H35" s="950">
        <f t="shared" si="4"/>
        <v>0</v>
      </c>
      <c r="I35" s="949">
        <f t="shared" si="5"/>
        <v>0</v>
      </c>
      <c r="J35" s="950">
        <f t="shared" si="6"/>
        <v>0</v>
      </c>
      <c r="K35" s="949">
        <f t="shared" si="7"/>
        <v>0</v>
      </c>
      <c r="L35" s="950">
        <f t="shared" si="8"/>
        <v>0</v>
      </c>
      <c r="M35" s="949">
        <f t="shared" si="9"/>
        <v>0</v>
      </c>
      <c r="N35" s="950">
        <f t="shared" si="10"/>
        <v>0</v>
      </c>
      <c r="O35" s="949">
        <f t="shared" si="11"/>
        <v>0</v>
      </c>
      <c r="P35" s="951">
        <f t="shared" si="12"/>
        <v>0</v>
      </c>
      <c r="Q35" s="949">
        <f t="shared" si="13"/>
        <v>0</v>
      </c>
      <c r="R35" s="951">
        <f t="shared" si="14"/>
        <v>0</v>
      </c>
      <c r="S35" s="949">
        <f t="shared" si="15"/>
        <v>0</v>
      </c>
      <c r="T35" s="952">
        <f t="shared" si="16"/>
        <v>0</v>
      </c>
      <c r="U35" s="537">
        <f t="shared" si="18"/>
        <v>0</v>
      </c>
      <c r="V35" s="539">
        <f t="shared" si="19"/>
        <v>0</v>
      </c>
      <c r="W35" s="876">
        <f>'t1'!N33</f>
        <v>0</v>
      </c>
      <c r="AH35" s="272"/>
      <c r="AI35" s="273"/>
      <c r="AJ35" s="272"/>
      <c r="AK35" s="273"/>
      <c r="AL35" s="272"/>
      <c r="AM35" s="273"/>
      <c r="AN35" s="272"/>
      <c r="AO35" s="273"/>
      <c r="AP35" s="272"/>
      <c r="AQ35" s="273"/>
      <c r="AR35" s="272"/>
      <c r="AS35" s="273"/>
      <c r="AT35" s="272"/>
      <c r="AU35" s="670"/>
      <c r="AV35" s="272"/>
      <c r="AW35" s="670"/>
      <c r="AX35" s="272"/>
      <c r="AY35" s="666"/>
      <c r="AZ35" s="537">
        <f t="shared" si="20"/>
        <v>0</v>
      </c>
      <c r="BA35" s="539">
        <f t="shared" si="21"/>
        <v>0</v>
      </c>
      <c r="BB35" s="876">
        <f>'t1'!AS33</f>
        <v>0</v>
      </c>
    </row>
    <row r="36" spans="1:54" ht="12.9" customHeight="1">
      <c r="A36" s="152" t="str">
        <f>'t1'!A34</f>
        <v>POSIZ. ECON. B6 PROFILI ACCESSO B1</v>
      </c>
      <c r="B36" s="224" t="str">
        <f>'t1'!B34</f>
        <v>038491</v>
      </c>
      <c r="C36" s="949">
        <f t="shared" si="17"/>
        <v>0</v>
      </c>
      <c r="D36" s="950">
        <f t="shared" si="0"/>
        <v>0</v>
      </c>
      <c r="E36" s="949">
        <f t="shared" si="1"/>
        <v>0</v>
      </c>
      <c r="F36" s="950">
        <f t="shared" si="2"/>
        <v>0</v>
      </c>
      <c r="G36" s="949">
        <f t="shared" si="3"/>
        <v>0</v>
      </c>
      <c r="H36" s="950">
        <f t="shared" si="4"/>
        <v>0</v>
      </c>
      <c r="I36" s="949">
        <f t="shared" si="5"/>
        <v>0</v>
      </c>
      <c r="J36" s="950">
        <f t="shared" si="6"/>
        <v>0</v>
      </c>
      <c r="K36" s="949">
        <f t="shared" si="7"/>
        <v>0</v>
      </c>
      <c r="L36" s="950">
        <f t="shared" si="8"/>
        <v>0</v>
      </c>
      <c r="M36" s="949">
        <f t="shared" si="9"/>
        <v>0</v>
      </c>
      <c r="N36" s="950">
        <f t="shared" si="10"/>
        <v>0</v>
      </c>
      <c r="O36" s="949">
        <f t="shared" si="11"/>
        <v>0</v>
      </c>
      <c r="P36" s="951">
        <f t="shared" si="12"/>
        <v>0</v>
      </c>
      <c r="Q36" s="949">
        <f t="shared" si="13"/>
        <v>0</v>
      </c>
      <c r="R36" s="951">
        <f t="shared" si="14"/>
        <v>0</v>
      </c>
      <c r="S36" s="949">
        <f t="shared" si="15"/>
        <v>0</v>
      </c>
      <c r="T36" s="952">
        <f t="shared" si="16"/>
        <v>0</v>
      </c>
      <c r="U36" s="537">
        <f t="shared" si="18"/>
        <v>0</v>
      </c>
      <c r="V36" s="539">
        <f t="shared" si="19"/>
        <v>0</v>
      </c>
      <c r="W36" s="876">
        <f>'t1'!N34</f>
        <v>0</v>
      </c>
      <c r="AH36" s="272"/>
      <c r="AI36" s="273"/>
      <c r="AJ36" s="272"/>
      <c r="AK36" s="273"/>
      <c r="AL36" s="272"/>
      <c r="AM36" s="273"/>
      <c r="AN36" s="272"/>
      <c r="AO36" s="273"/>
      <c r="AP36" s="272"/>
      <c r="AQ36" s="273"/>
      <c r="AR36" s="272"/>
      <c r="AS36" s="273"/>
      <c r="AT36" s="272"/>
      <c r="AU36" s="670"/>
      <c r="AV36" s="272"/>
      <c r="AW36" s="670"/>
      <c r="AX36" s="272"/>
      <c r="AY36" s="666"/>
      <c r="AZ36" s="537">
        <f t="shared" si="20"/>
        <v>0</v>
      </c>
      <c r="BA36" s="539">
        <f t="shared" si="21"/>
        <v>0</v>
      </c>
      <c r="BB36" s="876">
        <f>'t1'!AS34</f>
        <v>0</v>
      </c>
    </row>
    <row r="37" spans="1:54" ht="12.9" customHeight="1">
      <c r="A37" s="152" t="str">
        <f>'t1'!A35</f>
        <v>POSIZ. ECON. B5 PROFILI ACCESSO B3</v>
      </c>
      <c r="B37" s="224" t="str">
        <f>'t1'!B35</f>
        <v>037492</v>
      </c>
      <c r="C37" s="949">
        <f t="shared" si="17"/>
        <v>0</v>
      </c>
      <c r="D37" s="950">
        <f t="shared" si="0"/>
        <v>0</v>
      </c>
      <c r="E37" s="949">
        <f t="shared" si="1"/>
        <v>0</v>
      </c>
      <c r="F37" s="950">
        <f t="shared" si="2"/>
        <v>0</v>
      </c>
      <c r="G37" s="949">
        <f t="shared" si="3"/>
        <v>0</v>
      </c>
      <c r="H37" s="950">
        <f t="shared" si="4"/>
        <v>0</v>
      </c>
      <c r="I37" s="949">
        <f t="shared" si="5"/>
        <v>0</v>
      </c>
      <c r="J37" s="950">
        <f t="shared" si="6"/>
        <v>0</v>
      </c>
      <c r="K37" s="949">
        <f t="shared" si="7"/>
        <v>0</v>
      </c>
      <c r="L37" s="950">
        <f t="shared" si="8"/>
        <v>0</v>
      </c>
      <c r="M37" s="949">
        <f t="shared" si="9"/>
        <v>0</v>
      </c>
      <c r="N37" s="950">
        <f t="shared" si="10"/>
        <v>0</v>
      </c>
      <c r="O37" s="949">
        <f t="shared" si="11"/>
        <v>0</v>
      </c>
      <c r="P37" s="951">
        <f t="shared" si="12"/>
        <v>0</v>
      </c>
      <c r="Q37" s="949">
        <f t="shared" si="13"/>
        <v>0</v>
      </c>
      <c r="R37" s="951">
        <f t="shared" si="14"/>
        <v>0</v>
      </c>
      <c r="S37" s="949">
        <f t="shared" si="15"/>
        <v>0</v>
      </c>
      <c r="T37" s="952">
        <f t="shared" si="16"/>
        <v>0</v>
      </c>
      <c r="U37" s="537">
        <f t="shared" si="18"/>
        <v>0</v>
      </c>
      <c r="V37" s="539">
        <f t="shared" si="19"/>
        <v>0</v>
      </c>
      <c r="W37" s="876">
        <f>'t1'!N35</f>
        <v>0</v>
      </c>
      <c r="AH37" s="272"/>
      <c r="AI37" s="273"/>
      <c r="AJ37" s="272"/>
      <c r="AK37" s="273"/>
      <c r="AL37" s="272"/>
      <c r="AM37" s="273"/>
      <c r="AN37" s="272"/>
      <c r="AO37" s="273"/>
      <c r="AP37" s="272"/>
      <c r="AQ37" s="273"/>
      <c r="AR37" s="272"/>
      <c r="AS37" s="273"/>
      <c r="AT37" s="272"/>
      <c r="AU37" s="670"/>
      <c r="AV37" s="272"/>
      <c r="AW37" s="670"/>
      <c r="AX37" s="272"/>
      <c r="AY37" s="666"/>
      <c r="AZ37" s="537">
        <f t="shared" si="20"/>
        <v>0</v>
      </c>
      <c r="BA37" s="539">
        <f t="shared" si="21"/>
        <v>0</v>
      </c>
      <c r="BB37" s="876">
        <f>'t1'!AS35</f>
        <v>0</v>
      </c>
    </row>
    <row r="38" spans="1:54" ht="12.9" customHeight="1">
      <c r="A38" s="152" t="str">
        <f>'t1'!A36</f>
        <v>POSIZ. ECON. B5 PROFILI ACCESSO B1</v>
      </c>
      <c r="B38" s="224" t="str">
        <f>'t1'!B36</f>
        <v>037493</v>
      </c>
      <c r="C38" s="949">
        <f t="shared" si="17"/>
        <v>0</v>
      </c>
      <c r="D38" s="950">
        <f t="shared" si="0"/>
        <v>0</v>
      </c>
      <c r="E38" s="949">
        <f t="shared" si="1"/>
        <v>0</v>
      </c>
      <c r="F38" s="950">
        <f t="shared" si="2"/>
        <v>0</v>
      </c>
      <c r="G38" s="949">
        <f t="shared" si="3"/>
        <v>0</v>
      </c>
      <c r="H38" s="950">
        <f t="shared" si="4"/>
        <v>0</v>
      </c>
      <c r="I38" s="949">
        <f t="shared" si="5"/>
        <v>0</v>
      </c>
      <c r="J38" s="950">
        <f t="shared" si="6"/>
        <v>0</v>
      </c>
      <c r="K38" s="949">
        <f t="shared" si="7"/>
        <v>0</v>
      </c>
      <c r="L38" s="950">
        <f t="shared" si="8"/>
        <v>0</v>
      </c>
      <c r="M38" s="949">
        <f t="shared" si="9"/>
        <v>0</v>
      </c>
      <c r="N38" s="950">
        <f t="shared" si="10"/>
        <v>0</v>
      </c>
      <c r="O38" s="949">
        <f t="shared" si="11"/>
        <v>0</v>
      </c>
      <c r="P38" s="951">
        <f t="shared" si="12"/>
        <v>0</v>
      </c>
      <c r="Q38" s="949">
        <f t="shared" si="13"/>
        <v>0</v>
      </c>
      <c r="R38" s="951">
        <f t="shared" si="14"/>
        <v>0</v>
      </c>
      <c r="S38" s="949">
        <f t="shared" si="15"/>
        <v>0</v>
      </c>
      <c r="T38" s="952">
        <f t="shared" si="16"/>
        <v>0</v>
      </c>
      <c r="U38" s="537">
        <f t="shared" si="18"/>
        <v>0</v>
      </c>
      <c r="V38" s="539">
        <f t="shared" si="19"/>
        <v>0</v>
      </c>
      <c r="W38" s="876">
        <f>'t1'!N36</f>
        <v>0</v>
      </c>
      <c r="AH38" s="272"/>
      <c r="AI38" s="273"/>
      <c r="AJ38" s="272"/>
      <c r="AK38" s="273"/>
      <c r="AL38" s="272"/>
      <c r="AM38" s="273"/>
      <c r="AN38" s="272"/>
      <c r="AO38" s="273"/>
      <c r="AP38" s="272"/>
      <c r="AQ38" s="273"/>
      <c r="AR38" s="272"/>
      <c r="AS38" s="273"/>
      <c r="AT38" s="272"/>
      <c r="AU38" s="670"/>
      <c r="AV38" s="272"/>
      <c r="AW38" s="670"/>
      <c r="AX38" s="272"/>
      <c r="AY38" s="666"/>
      <c r="AZ38" s="537">
        <f t="shared" si="20"/>
        <v>0</v>
      </c>
      <c r="BA38" s="539">
        <f t="shared" si="21"/>
        <v>0</v>
      </c>
      <c r="BB38" s="876">
        <f>'t1'!AS36</f>
        <v>0</v>
      </c>
    </row>
    <row r="39" spans="1:54" ht="12.9" customHeight="1">
      <c r="A39" s="152" t="str">
        <f>'t1'!A37</f>
        <v>POSIZ. ECON. B4 PROFILI ACCESSO B3</v>
      </c>
      <c r="B39" s="224" t="str">
        <f>'t1'!B37</f>
        <v>036494</v>
      </c>
      <c r="C39" s="949">
        <f t="shared" si="17"/>
        <v>0</v>
      </c>
      <c r="D39" s="950">
        <f t="shared" si="0"/>
        <v>0</v>
      </c>
      <c r="E39" s="949">
        <f t="shared" si="1"/>
        <v>0</v>
      </c>
      <c r="F39" s="950">
        <f t="shared" si="2"/>
        <v>0</v>
      </c>
      <c r="G39" s="949">
        <f t="shared" si="3"/>
        <v>0</v>
      </c>
      <c r="H39" s="950">
        <f t="shared" si="4"/>
        <v>0</v>
      </c>
      <c r="I39" s="949">
        <f t="shared" si="5"/>
        <v>0</v>
      </c>
      <c r="J39" s="950">
        <f t="shared" si="6"/>
        <v>0</v>
      </c>
      <c r="K39" s="949">
        <f t="shared" si="7"/>
        <v>0</v>
      </c>
      <c r="L39" s="950">
        <f t="shared" si="8"/>
        <v>0</v>
      </c>
      <c r="M39" s="949">
        <f t="shared" si="9"/>
        <v>0</v>
      </c>
      <c r="N39" s="950">
        <f t="shared" si="10"/>
        <v>0</v>
      </c>
      <c r="O39" s="949">
        <f t="shared" si="11"/>
        <v>0</v>
      </c>
      <c r="P39" s="951">
        <f t="shared" si="12"/>
        <v>0</v>
      </c>
      <c r="Q39" s="949">
        <f t="shared" si="13"/>
        <v>0</v>
      </c>
      <c r="R39" s="951">
        <f t="shared" si="14"/>
        <v>0</v>
      </c>
      <c r="S39" s="949">
        <f t="shared" si="15"/>
        <v>0</v>
      </c>
      <c r="T39" s="952">
        <f t="shared" si="16"/>
        <v>0</v>
      </c>
      <c r="U39" s="537">
        <f t="shared" si="18"/>
        <v>0</v>
      </c>
      <c r="V39" s="539">
        <f t="shared" si="19"/>
        <v>0</v>
      </c>
      <c r="W39" s="876">
        <f>'t1'!N37</f>
        <v>0</v>
      </c>
      <c r="AH39" s="272"/>
      <c r="AI39" s="273"/>
      <c r="AJ39" s="272"/>
      <c r="AK39" s="273"/>
      <c r="AL39" s="272"/>
      <c r="AM39" s="273"/>
      <c r="AN39" s="272"/>
      <c r="AO39" s="273"/>
      <c r="AP39" s="272"/>
      <c r="AQ39" s="273"/>
      <c r="AR39" s="272"/>
      <c r="AS39" s="273"/>
      <c r="AT39" s="272"/>
      <c r="AU39" s="670"/>
      <c r="AV39" s="272"/>
      <c r="AW39" s="670"/>
      <c r="AX39" s="272"/>
      <c r="AY39" s="666"/>
      <c r="AZ39" s="537">
        <f t="shared" si="20"/>
        <v>0</v>
      </c>
      <c r="BA39" s="539">
        <f t="shared" si="21"/>
        <v>0</v>
      </c>
      <c r="BB39" s="876">
        <f>'t1'!AS37</f>
        <v>0</v>
      </c>
    </row>
    <row r="40" spans="1:54" ht="12.9" customHeight="1">
      <c r="A40" s="152" t="str">
        <f>'t1'!A38</f>
        <v>POSIZ. ECON. B4 PROFILI ACCESSO B1</v>
      </c>
      <c r="B40" s="224" t="str">
        <f>'t1'!B38</f>
        <v>036495</v>
      </c>
      <c r="C40" s="949">
        <f t="shared" si="17"/>
        <v>0</v>
      </c>
      <c r="D40" s="950">
        <f t="shared" si="0"/>
        <v>0</v>
      </c>
      <c r="E40" s="949">
        <f t="shared" si="1"/>
        <v>0</v>
      </c>
      <c r="F40" s="950">
        <f t="shared" si="2"/>
        <v>0</v>
      </c>
      <c r="G40" s="949">
        <f t="shared" si="3"/>
        <v>0</v>
      </c>
      <c r="H40" s="950">
        <f t="shared" si="4"/>
        <v>0</v>
      </c>
      <c r="I40" s="949">
        <f t="shared" si="5"/>
        <v>0</v>
      </c>
      <c r="J40" s="950">
        <f t="shared" si="6"/>
        <v>0</v>
      </c>
      <c r="K40" s="949">
        <f t="shared" si="7"/>
        <v>0</v>
      </c>
      <c r="L40" s="950">
        <f t="shared" si="8"/>
        <v>0</v>
      </c>
      <c r="M40" s="949">
        <f t="shared" si="9"/>
        <v>0</v>
      </c>
      <c r="N40" s="950">
        <f t="shared" si="10"/>
        <v>0</v>
      </c>
      <c r="O40" s="949">
        <f t="shared" si="11"/>
        <v>0</v>
      </c>
      <c r="P40" s="951">
        <f t="shared" si="12"/>
        <v>0</v>
      </c>
      <c r="Q40" s="949">
        <f t="shared" si="13"/>
        <v>0</v>
      </c>
      <c r="R40" s="951">
        <f t="shared" si="14"/>
        <v>0</v>
      </c>
      <c r="S40" s="949">
        <f t="shared" si="15"/>
        <v>0</v>
      </c>
      <c r="T40" s="952">
        <f t="shared" si="16"/>
        <v>0</v>
      </c>
      <c r="U40" s="537">
        <f t="shared" si="18"/>
        <v>0</v>
      </c>
      <c r="V40" s="539">
        <f t="shared" si="19"/>
        <v>0</v>
      </c>
      <c r="W40" s="876">
        <f>'t1'!N38</f>
        <v>0</v>
      </c>
      <c r="AH40" s="272"/>
      <c r="AI40" s="273"/>
      <c r="AJ40" s="272"/>
      <c r="AK40" s="273"/>
      <c r="AL40" s="272"/>
      <c r="AM40" s="273"/>
      <c r="AN40" s="272"/>
      <c r="AO40" s="273"/>
      <c r="AP40" s="272"/>
      <c r="AQ40" s="273"/>
      <c r="AR40" s="272"/>
      <c r="AS40" s="273"/>
      <c r="AT40" s="272"/>
      <c r="AU40" s="670"/>
      <c r="AV40" s="272"/>
      <c r="AW40" s="670"/>
      <c r="AX40" s="272"/>
      <c r="AY40" s="666"/>
      <c r="AZ40" s="537">
        <f t="shared" si="20"/>
        <v>0</v>
      </c>
      <c r="BA40" s="539">
        <f t="shared" si="21"/>
        <v>0</v>
      </c>
      <c r="BB40" s="876">
        <f>'t1'!AS38</f>
        <v>0</v>
      </c>
    </row>
    <row r="41" spans="1:54" ht="12.9" customHeight="1">
      <c r="A41" s="152" t="str">
        <f>'t1'!A39</f>
        <v>POSIZIONE ECONOMICA DI ACCESSO B3</v>
      </c>
      <c r="B41" s="224" t="str">
        <f>'t1'!B39</f>
        <v>055000</v>
      </c>
      <c r="C41" s="949">
        <f t="shared" si="17"/>
        <v>0</v>
      </c>
      <c r="D41" s="950">
        <f t="shared" si="0"/>
        <v>0</v>
      </c>
      <c r="E41" s="949">
        <f t="shared" si="1"/>
        <v>0</v>
      </c>
      <c r="F41" s="950">
        <f t="shared" si="2"/>
        <v>0</v>
      </c>
      <c r="G41" s="949">
        <f t="shared" si="3"/>
        <v>0</v>
      </c>
      <c r="H41" s="950">
        <f t="shared" si="4"/>
        <v>0</v>
      </c>
      <c r="I41" s="949">
        <f t="shared" si="5"/>
        <v>0</v>
      </c>
      <c r="J41" s="950">
        <f t="shared" si="6"/>
        <v>0</v>
      </c>
      <c r="K41" s="949">
        <f t="shared" si="7"/>
        <v>0</v>
      </c>
      <c r="L41" s="950">
        <f t="shared" si="8"/>
        <v>0</v>
      </c>
      <c r="M41" s="949">
        <f t="shared" si="9"/>
        <v>0</v>
      </c>
      <c r="N41" s="950">
        <f t="shared" si="10"/>
        <v>0</v>
      </c>
      <c r="O41" s="949">
        <f t="shared" si="11"/>
        <v>0</v>
      </c>
      <c r="P41" s="951">
        <f t="shared" si="12"/>
        <v>0</v>
      </c>
      <c r="Q41" s="949">
        <f t="shared" si="13"/>
        <v>0</v>
      </c>
      <c r="R41" s="951">
        <f t="shared" si="14"/>
        <v>0</v>
      </c>
      <c r="S41" s="949">
        <f t="shared" si="15"/>
        <v>0</v>
      </c>
      <c r="T41" s="952">
        <f t="shared" si="16"/>
        <v>0</v>
      </c>
      <c r="U41" s="537">
        <f t="shared" si="18"/>
        <v>0</v>
      </c>
      <c r="V41" s="539">
        <f t="shared" si="19"/>
        <v>0</v>
      </c>
      <c r="W41" s="876">
        <f>'t1'!N39</f>
        <v>0</v>
      </c>
      <c r="AH41" s="272"/>
      <c r="AI41" s="273"/>
      <c r="AJ41" s="272"/>
      <c r="AK41" s="273"/>
      <c r="AL41" s="272"/>
      <c r="AM41" s="273"/>
      <c r="AN41" s="272"/>
      <c r="AO41" s="273"/>
      <c r="AP41" s="272"/>
      <c r="AQ41" s="273"/>
      <c r="AR41" s="272"/>
      <c r="AS41" s="273"/>
      <c r="AT41" s="272"/>
      <c r="AU41" s="670"/>
      <c r="AV41" s="272"/>
      <c r="AW41" s="670"/>
      <c r="AX41" s="272"/>
      <c r="AY41" s="666"/>
      <c r="AZ41" s="537">
        <f t="shared" si="20"/>
        <v>0</v>
      </c>
      <c r="BA41" s="539">
        <f t="shared" si="21"/>
        <v>0</v>
      </c>
      <c r="BB41" s="876">
        <f>'t1'!AS39</f>
        <v>0</v>
      </c>
    </row>
    <row r="42" spans="1:54" ht="12.9" customHeight="1">
      <c r="A42" s="152" t="str">
        <f>'t1'!A40</f>
        <v>POSIZIONE ECONOMICA B3</v>
      </c>
      <c r="B42" s="224" t="str">
        <f>'t1'!B40</f>
        <v>034000</v>
      </c>
      <c r="C42" s="949">
        <f t="shared" si="17"/>
        <v>0</v>
      </c>
      <c r="D42" s="950">
        <f t="shared" si="0"/>
        <v>0</v>
      </c>
      <c r="E42" s="949">
        <f t="shared" si="1"/>
        <v>0</v>
      </c>
      <c r="F42" s="950">
        <f t="shared" si="2"/>
        <v>0</v>
      </c>
      <c r="G42" s="949">
        <f t="shared" si="3"/>
        <v>0</v>
      </c>
      <c r="H42" s="950">
        <f t="shared" si="4"/>
        <v>0</v>
      </c>
      <c r="I42" s="949">
        <f t="shared" si="5"/>
        <v>0</v>
      </c>
      <c r="J42" s="950">
        <f t="shared" si="6"/>
        <v>0</v>
      </c>
      <c r="K42" s="949">
        <f t="shared" si="7"/>
        <v>0</v>
      </c>
      <c r="L42" s="950">
        <f t="shared" si="8"/>
        <v>0</v>
      </c>
      <c r="M42" s="949">
        <f t="shared" si="9"/>
        <v>0</v>
      </c>
      <c r="N42" s="950">
        <f t="shared" si="10"/>
        <v>0</v>
      </c>
      <c r="O42" s="949">
        <f t="shared" si="11"/>
        <v>0</v>
      </c>
      <c r="P42" s="951">
        <f t="shared" si="12"/>
        <v>0</v>
      </c>
      <c r="Q42" s="949">
        <f t="shared" si="13"/>
        <v>0</v>
      </c>
      <c r="R42" s="951">
        <f t="shared" si="14"/>
        <v>0</v>
      </c>
      <c r="S42" s="949">
        <f t="shared" si="15"/>
        <v>0</v>
      </c>
      <c r="T42" s="952">
        <f t="shared" si="16"/>
        <v>0</v>
      </c>
      <c r="U42" s="537">
        <f t="shared" si="18"/>
        <v>0</v>
      </c>
      <c r="V42" s="539">
        <f t="shared" si="19"/>
        <v>0</v>
      </c>
      <c r="W42" s="876">
        <f>'t1'!N40</f>
        <v>0</v>
      </c>
      <c r="AH42" s="272"/>
      <c r="AI42" s="273"/>
      <c r="AJ42" s="272"/>
      <c r="AK42" s="273"/>
      <c r="AL42" s="272"/>
      <c r="AM42" s="273"/>
      <c r="AN42" s="272"/>
      <c r="AO42" s="273"/>
      <c r="AP42" s="272"/>
      <c r="AQ42" s="273"/>
      <c r="AR42" s="272"/>
      <c r="AS42" s="273"/>
      <c r="AT42" s="272"/>
      <c r="AU42" s="670"/>
      <c r="AV42" s="272"/>
      <c r="AW42" s="670"/>
      <c r="AX42" s="272"/>
      <c r="AY42" s="666"/>
      <c r="AZ42" s="537">
        <f t="shared" si="20"/>
        <v>0</v>
      </c>
      <c r="BA42" s="539">
        <f t="shared" si="21"/>
        <v>0</v>
      </c>
      <c r="BB42" s="876">
        <f>'t1'!AS40</f>
        <v>0</v>
      </c>
    </row>
    <row r="43" spans="1:54" ht="12.9" customHeight="1">
      <c r="A43" s="152" t="str">
        <f>'t1'!A41</f>
        <v>POSIZIONE ECONOMICA B2</v>
      </c>
      <c r="B43" s="224" t="str">
        <f>'t1'!B41</f>
        <v>032000</v>
      </c>
      <c r="C43" s="949">
        <f t="shared" si="17"/>
        <v>0</v>
      </c>
      <c r="D43" s="950">
        <f t="shared" si="0"/>
        <v>0</v>
      </c>
      <c r="E43" s="949">
        <f t="shared" si="1"/>
        <v>0</v>
      </c>
      <c r="F43" s="950">
        <f t="shared" si="2"/>
        <v>0</v>
      </c>
      <c r="G43" s="949">
        <f t="shared" si="3"/>
        <v>0</v>
      </c>
      <c r="H43" s="950">
        <f t="shared" si="4"/>
        <v>0</v>
      </c>
      <c r="I43" s="949">
        <f t="shared" si="5"/>
        <v>0</v>
      </c>
      <c r="J43" s="950">
        <f t="shared" si="6"/>
        <v>0</v>
      </c>
      <c r="K43" s="949">
        <f t="shared" si="7"/>
        <v>0</v>
      </c>
      <c r="L43" s="950">
        <f t="shared" si="8"/>
        <v>0</v>
      </c>
      <c r="M43" s="949">
        <f t="shared" si="9"/>
        <v>0</v>
      </c>
      <c r="N43" s="950">
        <f t="shared" si="10"/>
        <v>0</v>
      </c>
      <c r="O43" s="949">
        <f t="shared" si="11"/>
        <v>0</v>
      </c>
      <c r="P43" s="951">
        <f t="shared" si="12"/>
        <v>0</v>
      </c>
      <c r="Q43" s="949">
        <f t="shared" si="13"/>
        <v>0</v>
      </c>
      <c r="R43" s="951">
        <f t="shared" si="14"/>
        <v>0</v>
      </c>
      <c r="S43" s="949">
        <f t="shared" si="15"/>
        <v>0</v>
      </c>
      <c r="T43" s="952">
        <f t="shared" si="16"/>
        <v>0</v>
      </c>
      <c r="U43" s="537">
        <f t="shared" si="18"/>
        <v>0</v>
      </c>
      <c r="V43" s="539">
        <f t="shared" si="19"/>
        <v>0</v>
      </c>
      <c r="W43" s="876">
        <f>'t1'!N41</f>
        <v>0</v>
      </c>
      <c r="AH43" s="272"/>
      <c r="AI43" s="273"/>
      <c r="AJ43" s="272"/>
      <c r="AK43" s="273"/>
      <c r="AL43" s="272"/>
      <c r="AM43" s="273"/>
      <c r="AN43" s="272"/>
      <c r="AO43" s="273"/>
      <c r="AP43" s="272"/>
      <c r="AQ43" s="273"/>
      <c r="AR43" s="272"/>
      <c r="AS43" s="273"/>
      <c r="AT43" s="272"/>
      <c r="AU43" s="670"/>
      <c r="AV43" s="272"/>
      <c r="AW43" s="670"/>
      <c r="AX43" s="272"/>
      <c r="AY43" s="666"/>
      <c r="AZ43" s="537">
        <f t="shared" si="20"/>
        <v>0</v>
      </c>
      <c r="BA43" s="539">
        <f t="shared" si="21"/>
        <v>0</v>
      </c>
      <c r="BB43" s="876">
        <f>'t1'!AS41</f>
        <v>0</v>
      </c>
    </row>
    <row r="44" spans="1:54" ht="12.9" customHeight="1">
      <c r="A44" s="152" t="str">
        <f>'t1'!A42</f>
        <v>POSIZIONE ECONOMICA DI ACCESSO B1</v>
      </c>
      <c r="B44" s="224" t="str">
        <f>'t1'!B42</f>
        <v>054000</v>
      </c>
      <c r="C44" s="949">
        <f t="shared" si="17"/>
        <v>0</v>
      </c>
      <c r="D44" s="950">
        <f t="shared" si="0"/>
        <v>0</v>
      </c>
      <c r="E44" s="949">
        <f t="shared" si="1"/>
        <v>0</v>
      </c>
      <c r="F44" s="950">
        <f t="shared" si="2"/>
        <v>0</v>
      </c>
      <c r="G44" s="949">
        <f t="shared" si="3"/>
        <v>0</v>
      </c>
      <c r="H44" s="950">
        <f t="shared" si="4"/>
        <v>0</v>
      </c>
      <c r="I44" s="949">
        <f t="shared" si="5"/>
        <v>0</v>
      </c>
      <c r="J44" s="950">
        <f t="shared" si="6"/>
        <v>0</v>
      </c>
      <c r="K44" s="949">
        <f t="shared" si="7"/>
        <v>0</v>
      </c>
      <c r="L44" s="950">
        <f t="shared" si="8"/>
        <v>0</v>
      </c>
      <c r="M44" s="949">
        <f t="shared" si="9"/>
        <v>0</v>
      </c>
      <c r="N44" s="950">
        <f t="shared" si="10"/>
        <v>0</v>
      </c>
      <c r="O44" s="949">
        <f t="shared" si="11"/>
        <v>0</v>
      </c>
      <c r="P44" s="951">
        <f t="shared" si="12"/>
        <v>0</v>
      </c>
      <c r="Q44" s="949">
        <f t="shared" si="13"/>
        <v>0</v>
      </c>
      <c r="R44" s="951">
        <f t="shared" si="14"/>
        <v>0</v>
      </c>
      <c r="S44" s="949">
        <f t="shared" si="15"/>
        <v>0</v>
      </c>
      <c r="T44" s="952">
        <f t="shared" si="16"/>
        <v>0</v>
      </c>
      <c r="U44" s="537">
        <f t="shared" si="18"/>
        <v>0</v>
      </c>
      <c r="V44" s="539">
        <f t="shared" si="19"/>
        <v>0</v>
      </c>
      <c r="W44" s="876">
        <f>'t1'!N42</f>
        <v>0</v>
      </c>
      <c r="AH44" s="272"/>
      <c r="AI44" s="273"/>
      <c r="AJ44" s="272"/>
      <c r="AK44" s="273"/>
      <c r="AL44" s="272"/>
      <c r="AM44" s="273"/>
      <c r="AN44" s="272"/>
      <c r="AO44" s="273"/>
      <c r="AP44" s="272"/>
      <c r="AQ44" s="273"/>
      <c r="AR44" s="272"/>
      <c r="AS44" s="273"/>
      <c r="AT44" s="272"/>
      <c r="AU44" s="670"/>
      <c r="AV44" s="272"/>
      <c r="AW44" s="670"/>
      <c r="AX44" s="272"/>
      <c r="AY44" s="666"/>
      <c r="AZ44" s="537">
        <f t="shared" si="20"/>
        <v>0</v>
      </c>
      <c r="BA44" s="539">
        <f t="shared" si="21"/>
        <v>0</v>
      </c>
      <c r="BB44" s="876">
        <f>'t1'!AS42</f>
        <v>0</v>
      </c>
    </row>
    <row r="45" spans="1:54" ht="12.9" customHeight="1">
      <c r="A45" s="152" t="str">
        <f>'t1'!A43</f>
        <v>POSIZIONE ECONOMICA A5</v>
      </c>
      <c r="B45" s="224" t="str">
        <f>'t1'!B43</f>
        <v>0A5000</v>
      </c>
      <c r="C45" s="949">
        <f t="shared" si="17"/>
        <v>0</v>
      </c>
      <c r="D45" s="950">
        <f t="shared" si="0"/>
        <v>0</v>
      </c>
      <c r="E45" s="949">
        <f t="shared" si="1"/>
        <v>0</v>
      </c>
      <c r="F45" s="950">
        <f t="shared" si="2"/>
        <v>0</v>
      </c>
      <c r="G45" s="949">
        <f t="shared" si="3"/>
        <v>0</v>
      </c>
      <c r="H45" s="950">
        <f t="shared" si="4"/>
        <v>0</v>
      </c>
      <c r="I45" s="949">
        <f t="shared" si="5"/>
        <v>0</v>
      </c>
      <c r="J45" s="950">
        <f t="shared" si="6"/>
        <v>0</v>
      </c>
      <c r="K45" s="949">
        <f t="shared" si="7"/>
        <v>0</v>
      </c>
      <c r="L45" s="950">
        <f t="shared" si="8"/>
        <v>0</v>
      </c>
      <c r="M45" s="949">
        <f t="shared" si="9"/>
        <v>0</v>
      </c>
      <c r="N45" s="950">
        <f t="shared" si="10"/>
        <v>0</v>
      </c>
      <c r="O45" s="949">
        <f t="shared" si="11"/>
        <v>0</v>
      </c>
      <c r="P45" s="951">
        <f t="shared" si="12"/>
        <v>0</v>
      </c>
      <c r="Q45" s="949">
        <f t="shared" si="13"/>
        <v>0</v>
      </c>
      <c r="R45" s="951">
        <f t="shared" si="14"/>
        <v>0</v>
      </c>
      <c r="S45" s="949">
        <f t="shared" si="15"/>
        <v>0</v>
      </c>
      <c r="T45" s="952">
        <f t="shared" si="16"/>
        <v>0</v>
      </c>
      <c r="U45" s="537">
        <f t="shared" si="18"/>
        <v>0</v>
      </c>
      <c r="V45" s="539">
        <f t="shared" si="19"/>
        <v>0</v>
      </c>
      <c r="W45" s="876">
        <f>'t1'!N43</f>
        <v>0</v>
      </c>
      <c r="AH45" s="272"/>
      <c r="AI45" s="273"/>
      <c r="AJ45" s="272"/>
      <c r="AK45" s="273"/>
      <c r="AL45" s="272"/>
      <c r="AM45" s="273"/>
      <c r="AN45" s="272"/>
      <c r="AO45" s="273"/>
      <c r="AP45" s="272"/>
      <c r="AQ45" s="273"/>
      <c r="AR45" s="272"/>
      <c r="AS45" s="273"/>
      <c r="AT45" s="272"/>
      <c r="AU45" s="670"/>
      <c r="AV45" s="272"/>
      <c r="AW45" s="670"/>
      <c r="AX45" s="272"/>
      <c r="AY45" s="666"/>
      <c r="AZ45" s="537">
        <f t="shared" si="20"/>
        <v>0</v>
      </c>
      <c r="BA45" s="539">
        <f t="shared" si="21"/>
        <v>0</v>
      </c>
      <c r="BB45" s="876">
        <f>'t1'!AS43</f>
        <v>0</v>
      </c>
    </row>
    <row r="46" spans="1:54" ht="12.9" customHeight="1">
      <c r="A46" s="152" t="str">
        <f>'t1'!A44</f>
        <v>POSIZIONE ECONOMICA A4</v>
      </c>
      <c r="B46" s="224" t="str">
        <f>'t1'!B44</f>
        <v>028000</v>
      </c>
      <c r="C46" s="949">
        <f t="shared" si="17"/>
        <v>0</v>
      </c>
      <c r="D46" s="950">
        <f t="shared" si="0"/>
        <v>0</v>
      </c>
      <c r="E46" s="949">
        <f t="shared" si="1"/>
        <v>0</v>
      </c>
      <c r="F46" s="950">
        <f t="shared" si="2"/>
        <v>0</v>
      </c>
      <c r="G46" s="949">
        <f t="shared" si="3"/>
        <v>0</v>
      </c>
      <c r="H46" s="950">
        <f t="shared" si="4"/>
        <v>0</v>
      </c>
      <c r="I46" s="949">
        <f t="shared" si="5"/>
        <v>0</v>
      </c>
      <c r="J46" s="950">
        <f t="shared" si="6"/>
        <v>0</v>
      </c>
      <c r="K46" s="949">
        <f t="shared" si="7"/>
        <v>0</v>
      </c>
      <c r="L46" s="950">
        <f t="shared" si="8"/>
        <v>0</v>
      </c>
      <c r="M46" s="949">
        <f t="shared" si="9"/>
        <v>0</v>
      </c>
      <c r="N46" s="950">
        <f t="shared" si="10"/>
        <v>0</v>
      </c>
      <c r="O46" s="949">
        <f t="shared" si="11"/>
        <v>0</v>
      </c>
      <c r="P46" s="951">
        <f t="shared" si="12"/>
        <v>0</v>
      </c>
      <c r="Q46" s="949">
        <f t="shared" si="13"/>
        <v>0</v>
      </c>
      <c r="R46" s="951">
        <f t="shared" si="14"/>
        <v>0</v>
      </c>
      <c r="S46" s="949">
        <f t="shared" si="15"/>
        <v>0</v>
      </c>
      <c r="T46" s="952">
        <f t="shared" si="16"/>
        <v>0</v>
      </c>
      <c r="U46" s="537">
        <f t="shared" si="18"/>
        <v>0</v>
      </c>
      <c r="V46" s="539">
        <f t="shared" si="19"/>
        <v>0</v>
      </c>
      <c r="W46" s="876">
        <f>'t1'!N44</f>
        <v>0</v>
      </c>
      <c r="AH46" s="272"/>
      <c r="AI46" s="273"/>
      <c r="AJ46" s="272"/>
      <c r="AK46" s="273"/>
      <c r="AL46" s="272"/>
      <c r="AM46" s="273"/>
      <c r="AN46" s="272"/>
      <c r="AO46" s="273"/>
      <c r="AP46" s="272"/>
      <c r="AQ46" s="273"/>
      <c r="AR46" s="272"/>
      <c r="AS46" s="273"/>
      <c r="AT46" s="272"/>
      <c r="AU46" s="670"/>
      <c r="AV46" s="272"/>
      <c r="AW46" s="670"/>
      <c r="AX46" s="272"/>
      <c r="AY46" s="666"/>
      <c r="AZ46" s="537">
        <f t="shared" si="20"/>
        <v>0</v>
      </c>
      <c r="BA46" s="539">
        <f t="shared" si="21"/>
        <v>0</v>
      </c>
      <c r="BB46" s="876">
        <f>'t1'!AS44</f>
        <v>0</v>
      </c>
    </row>
    <row r="47" spans="1:54" ht="12.9" customHeight="1">
      <c r="A47" s="152" t="str">
        <f>'t1'!A45</f>
        <v>POSIZIONE ECONOMICA A3</v>
      </c>
      <c r="B47" s="224" t="str">
        <f>'t1'!B45</f>
        <v>027000</v>
      </c>
      <c r="C47" s="949">
        <f t="shared" si="17"/>
        <v>0</v>
      </c>
      <c r="D47" s="950">
        <f t="shared" si="0"/>
        <v>0</v>
      </c>
      <c r="E47" s="949">
        <f t="shared" si="1"/>
        <v>0</v>
      </c>
      <c r="F47" s="950">
        <f t="shared" si="2"/>
        <v>0</v>
      </c>
      <c r="G47" s="949">
        <f t="shared" si="3"/>
        <v>0</v>
      </c>
      <c r="H47" s="950">
        <f t="shared" si="4"/>
        <v>0</v>
      </c>
      <c r="I47" s="949">
        <f t="shared" si="5"/>
        <v>0</v>
      </c>
      <c r="J47" s="950">
        <f t="shared" si="6"/>
        <v>0</v>
      </c>
      <c r="K47" s="949">
        <f t="shared" si="7"/>
        <v>0</v>
      </c>
      <c r="L47" s="950">
        <f t="shared" si="8"/>
        <v>0</v>
      </c>
      <c r="M47" s="949">
        <f t="shared" si="9"/>
        <v>0</v>
      </c>
      <c r="N47" s="950">
        <f t="shared" si="10"/>
        <v>0</v>
      </c>
      <c r="O47" s="949">
        <f t="shared" si="11"/>
        <v>0</v>
      </c>
      <c r="P47" s="951">
        <f t="shared" si="12"/>
        <v>0</v>
      </c>
      <c r="Q47" s="949">
        <f t="shared" si="13"/>
        <v>0</v>
      </c>
      <c r="R47" s="951">
        <f t="shared" si="14"/>
        <v>0</v>
      </c>
      <c r="S47" s="949">
        <f t="shared" si="15"/>
        <v>0</v>
      </c>
      <c r="T47" s="952">
        <f t="shared" si="16"/>
        <v>0</v>
      </c>
      <c r="U47" s="537">
        <f t="shared" si="18"/>
        <v>0</v>
      </c>
      <c r="V47" s="539">
        <f t="shared" si="19"/>
        <v>0</v>
      </c>
      <c r="W47" s="876">
        <f>'t1'!N45</f>
        <v>0</v>
      </c>
      <c r="AH47" s="272"/>
      <c r="AI47" s="273"/>
      <c r="AJ47" s="272"/>
      <c r="AK47" s="273"/>
      <c r="AL47" s="272"/>
      <c r="AM47" s="273"/>
      <c r="AN47" s="272"/>
      <c r="AO47" s="273"/>
      <c r="AP47" s="272"/>
      <c r="AQ47" s="273"/>
      <c r="AR47" s="272"/>
      <c r="AS47" s="273"/>
      <c r="AT47" s="272"/>
      <c r="AU47" s="670"/>
      <c r="AV47" s="272"/>
      <c r="AW47" s="670"/>
      <c r="AX47" s="272"/>
      <c r="AY47" s="666"/>
      <c r="AZ47" s="537">
        <f t="shared" si="20"/>
        <v>0</v>
      </c>
      <c r="BA47" s="539">
        <f t="shared" si="21"/>
        <v>0</v>
      </c>
      <c r="BB47" s="876">
        <f>'t1'!AS45</f>
        <v>0</v>
      </c>
    </row>
    <row r="48" spans="1:54" ht="12.9" customHeight="1">
      <c r="A48" s="152" t="str">
        <f>'t1'!A46</f>
        <v>POSIZIONE ECONOMICA A2</v>
      </c>
      <c r="B48" s="224" t="str">
        <f>'t1'!B46</f>
        <v>025000</v>
      </c>
      <c r="C48" s="949">
        <f t="shared" si="17"/>
        <v>0</v>
      </c>
      <c r="D48" s="950">
        <f t="shared" si="0"/>
        <v>0</v>
      </c>
      <c r="E48" s="949">
        <f t="shared" si="1"/>
        <v>0</v>
      </c>
      <c r="F48" s="950">
        <f t="shared" si="2"/>
        <v>0</v>
      </c>
      <c r="G48" s="949">
        <f t="shared" si="3"/>
        <v>0</v>
      </c>
      <c r="H48" s="950">
        <f t="shared" si="4"/>
        <v>0</v>
      </c>
      <c r="I48" s="949">
        <f t="shared" si="5"/>
        <v>0</v>
      </c>
      <c r="J48" s="950">
        <f t="shared" si="6"/>
        <v>0</v>
      </c>
      <c r="K48" s="949">
        <f t="shared" si="7"/>
        <v>0</v>
      </c>
      <c r="L48" s="950">
        <f t="shared" si="8"/>
        <v>0</v>
      </c>
      <c r="M48" s="949">
        <f t="shared" si="9"/>
        <v>0</v>
      </c>
      <c r="N48" s="950">
        <f t="shared" si="10"/>
        <v>0</v>
      </c>
      <c r="O48" s="949">
        <f t="shared" si="11"/>
        <v>0</v>
      </c>
      <c r="P48" s="951">
        <f t="shared" si="12"/>
        <v>0</v>
      </c>
      <c r="Q48" s="949">
        <f t="shared" si="13"/>
        <v>0</v>
      </c>
      <c r="R48" s="951">
        <f t="shared" si="14"/>
        <v>0</v>
      </c>
      <c r="S48" s="949">
        <f t="shared" si="15"/>
        <v>0</v>
      </c>
      <c r="T48" s="952">
        <f t="shared" si="16"/>
        <v>0</v>
      </c>
      <c r="U48" s="537">
        <f t="shared" si="18"/>
        <v>0</v>
      </c>
      <c r="V48" s="539">
        <f t="shared" si="19"/>
        <v>0</v>
      </c>
      <c r="W48" s="876">
        <f>'t1'!N46</f>
        <v>0</v>
      </c>
      <c r="AH48" s="272"/>
      <c r="AI48" s="273"/>
      <c r="AJ48" s="272"/>
      <c r="AK48" s="273"/>
      <c r="AL48" s="272"/>
      <c r="AM48" s="273"/>
      <c r="AN48" s="272"/>
      <c r="AO48" s="273"/>
      <c r="AP48" s="272"/>
      <c r="AQ48" s="273"/>
      <c r="AR48" s="272"/>
      <c r="AS48" s="273"/>
      <c r="AT48" s="272"/>
      <c r="AU48" s="670"/>
      <c r="AV48" s="272"/>
      <c r="AW48" s="670"/>
      <c r="AX48" s="272"/>
      <c r="AY48" s="666"/>
      <c r="AZ48" s="537">
        <f t="shared" si="20"/>
        <v>0</v>
      </c>
      <c r="BA48" s="539">
        <f t="shared" si="21"/>
        <v>0</v>
      </c>
      <c r="BB48" s="876">
        <f>'t1'!AS46</f>
        <v>0</v>
      </c>
    </row>
    <row r="49" spans="1:54" ht="12.9" customHeight="1">
      <c r="A49" s="152" t="str">
        <f>'t1'!A47</f>
        <v>POSIZIONE ECONOMICA DI ACCESSO A1</v>
      </c>
      <c r="B49" s="224" t="str">
        <f>'t1'!B47</f>
        <v>053000</v>
      </c>
      <c r="C49" s="949">
        <f t="shared" si="17"/>
        <v>0</v>
      </c>
      <c r="D49" s="950">
        <f t="shared" si="0"/>
        <v>0</v>
      </c>
      <c r="E49" s="949">
        <f t="shared" si="1"/>
        <v>0</v>
      </c>
      <c r="F49" s="950">
        <f t="shared" si="2"/>
        <v>0</v>
      </c>
      <c r="G49" s="949">
        <f t="shared" si="3"/>
        <v>0</v>
      </c>
      <c r="H49" s="950">
        <f t="shared" si="4"/>
        <v>0</v>
      </c>
      <c r="I49" s="949">
        <f t="shared" si="5"/>
        <v>0</v>
      </c>
      <c r="J49" s="950">
        <f t="shared" si="6"/>
        <v>0</v>
      </c>
      <c r="K49" s="949">
        <f t="shared" si="7"/>
        <v>0</v>
      </c>
      <c r="L49" s="950">
        <f t="shared" si="8"/>
        <v>0</v>
      </c>
      <c r="M49" s="949">
        <f t="shared" si="9"/>
        <v>0</v>
      </c>
      <c r="N49" s="950">
        <f t="shared" si="10"/>
        <v>0</v>
      </c>
      <c r="O49" s="949">
        <f t="shared" si="11"/>
        <v>0</v>
      </c>
      <c r="P49" s="951">
        <f t="shared" si="12"/>
        <v>0</v>
      </c>
      <c r="Q49" s="949">
        <f t="shared" si="13"/>
        <v>0</v>
      </c>
      <c r="R49" s="951">
        <f t="shared" si="14"/>
        <v>0</v>
      </c>
      <c r="S49" s="949">
        <f t="shared" si="15"/>
        <v>0</v>
      </c>
      <c r="T49" s="952">
        <f t="shared" si="16"/>
        <v>0</v>
      </c>
      <c r="U49" s="537">
        <f t="shared" si="18"/>
        <v>0</v>
      </c>
      <c r="V49" s="539">
        <f t="shared" si="19"/>
        <v>0</v>
      </c>
      <c r="W49" s="876">
        <f>'t1'!N47</f>
        <v>0</v>
      </c>
      <c r="AH49" s="272"/>
      <c r="AI49" s="273"/>
      <c r="AJ49" s="272"/>
      <c r="AK49" s="273"/>
      <c r="AL49" s="272"/>
      <c r="AM49" s="273"/>
      <c r="AN49" s="272"/>
      <c r="AO49" s="273"/>
      <c r="AP49" s="272"/>
      <c r="AQ49" s="273"/>
      <c r="AR49" s="272"/>
      <c r="AS49" s="273"/>
      <c r="AT49" s="272"/>
      <c r="AU49" s="670"/>
      <c r="AV49" s="272"/>
      <c r="AW49" s="670"/>
      <c r="AX49" s="272"/>
      <c r="AY49" s="666"/>
      <c r="AZ49" s="537">
        <f t="shared" si="20"/>
        <v>0</v>
      </c>
      <c r="BA49" s="539">
        <f t="shared" si="21"/>
        <v>0</v>
      </c>
      <c r="BB49" s="876">
        <f>'t1'!AS47</f>
        <v>0</v>
      </c>
    </row>
    <row r="50" spans="1:54" ht="12.9" customHeight="1">
      <c r="A50" s="152" t="str">
        <f>'t1'!A48</f>
        <v>CONTRATTISTI (a)</v>
      </c>
      <c r="B50" s="224" t="str">
        <f>'t1'!B48</f>
        <v>000061</v>
      </c>
      <c r="C50" s="949">
        <f t="shared" si="17"/>
        <v>0</v>
      </c>
      <c r="D50" s="950">
        <f t="shared" si="0"/>
        <v>0</v>
      </c>
      <c r="E50" s="949">
        <f t="shared" si="1"/>
        <v>0</v>
      </c>
      <c r="F50" s="950">
        <f t="shared" si="2"/>
        <v>0</v>
      </c>
      <c r="G50" s="949">
        <f t="shared" si="3"/>
        <v>0</v>
      </c>
      <c r="H50" s="950">
        <f t="shared" si="4"/>
        <v>0</v>
      </c>
      <c r="I50" s="949">
        <f t="shared" si="5"/>
        <v>0</v>
      </c>
      <c r="J50" s="950">
        <f t="shared" si="6"/>
        <v>0</v>
      </c>
      <c r="K50" s="949">
        <f t="shared" si="7"/>
        <v>0</v>
      </c>
      <c r="L50" s="950">
        <f t="shared" si="8"/>
        <v>0</v>
      </c>
      <c r="M50" s="949">
        <f t="shared" si="9"/>
        <v>0</v>
      </c>
      <c r="N50" s="950">
        <f t="shared" si="10"/>
        <v>0</v>
      </c>
      <c r="O50" s="949">
        <f t="shared" si="11"/>
        <v>0</v>
      </c>
      <c r="P50" s="951">
        <f t="shared" si="12"/>
        <v>0</v>
      </c>
      <c r="Q50" s="949">
        <f t="shared" si="13"/>
        <v>0</v>
      </c>
      <c r="R50" s="951">
        <f t="shared" si="14"/>
        <v>0</v>
      </c>
      <c r="S50" s="949">
        <f t="shared" si="15"/>
        <v>0</v>
      </c>
      <c r="T50" s="952">
        <f t="shared" si="16"/>
        <v>0</v>
      </c>
      <c r="U50" s="537">
        <f>SUM(C50,E50,G50,I50,K50,M50,O50,Q50,S50)</f>
        <v>0</v>
      </c>
      <c r="V50" s="539">
        <f>SUM(D50,F50,H50,J50,L50,N50,P50,R50,T50)</f>
        <v>0</v>
      </c>
      <c r="W50" s="876">
        <f>'t1'!N48</f>
        <v>0</v>
      </c>
      <c r="AH50" s="272"/>
      <c r="AI50" s="273"/>
      <c r="AJ50" s="272"/>
      <c r="AK50" s="273"/>
      <c r="AL50" s="272"/>
      <c r="AM50" s="273"/>
      <c r="AN50" s="272"/>
      <c r="AO50" s="273"/>
      <c r="AP50" s="272"/>
      <c r="AQ50" s="273"/>
      <c r="AR50" s="272"/>
      <c r="AS50" s="273"/>
      <c r="AT50" s="272"/>
      <c r="AU50" s="670"/>
      <c r="AV50" s="272"/>
      <c r="AW50" s="670"/>
      <c r="AX50" s="272"/>
      <c r="AY50" s="666"/>
      <c r="AZ50" s="537">
        <f>SUM(AH50,AJ50,AL50,AN50,AP50,AR50,AT50,AV50,AX50)</f>
        <v>0</v>
      </c>
      <c r="BA50" s="539">
        <f>SUM(AI50,AK50,AM50,AO50,AQ50,AS50,AU50,AW50,AY50)</f>
        <v>0</v>
      </c>
      <c r="BB50" s="876">
        <f>'t1'!AS48</f>
        <v>0</v>
      </c>
    </row>
    <row r="51" spans="1:54" ht="12.9" customHeight="1" thickBot="1">
      <c r="A51" s="152" t="str">
        <f>'t1'!A49</f>
        <v>COLLABORATORE A T.D. ART. 90 TUEL (b)</v>
      </c>
      <c r="B51" s="224" t="str">
        <f>'t1'!B49</f>
        <v>000096</v>
      </c>
      <c r="C51" s="949">
        <f t="shared" si="17"/>
        <v>0</v>
      </c>
      <c r="D51" s="950">
        <f t="shared" si="0"/>
        <v>0</v>
      </c>
      <c r="E51" s="949">
        <f t="shared" si="1"/>
        <v>0</v>
      </c>
      <c r="F51" s="950">
        <f t="shared" si="2"/>
        <v>0</v>
      </c>
      <c r="G51" s="949">
        <f t="shared" si="3"/>
        <v>0</v>
      </c>
      <c r="H51" s="950">
        <f t="shared" si="4"/>
        <v>0</v>
      </c>
      <c r="I51" s="949">
        <f t="shared" si="5"/>
        <v>0</v>
      </c>
      <c r="J51" s="950">
        <f t="shared" si="6"/>
        <v>0</v>
      </c>
      <c r="K51" s="949">
        <f t="shared" si="7"/>
        <v>0</v>
      </c>
      <c r="L51" s="950">
        <f t="shared" si="8"/>
        <v>0</v>
      </c>
      <c r="M51" s="949">
        <f t="shared" si="9"/>
        <v>0</v>
      </c>
      <c r="N51" s="950">
        <f t="shared" si="10"/>
        <v>0</v>
      </c>
      <c r="O51" s="949">
        <f t="shared" si="11"/>
        <v>0</v>
      </c>
      <c r="P51" s="951">
        <f t="shared" si="12"/>
        <v>0</v>
      </c>
      <c r="Q51" s="949">
        <f t="shared" si="13"/>
        <v>0</v>
      </c>
      <c r="R51" s="951">
        <f t="shared" si="14"/>
        <v>0</v>
      </c>
      <c r="S51" s="949">
        <f t="shared" si="15"/>
        <v>0</v>
      </c>
      <c r="T51" s="952">
        <f t="shared" si="16"/>
        <v>0</v>
      </c>
      <c r="U51" s="537">
        <f t="shared" si="18"/>
        <v>0</v>
      </c>
      <c r="V51" s="539">
        <f t="shared" si="19"/>
        <v>0</v>
      </c>
      <c r="W51" s="876">
        <f>'t1'!N49</f>
        <v>0</v>
      </c>
      <c r="AH51" s="272"/>
      <c r="AI51" s="273"/>
      <c r="AJ51" s="272"/>
      <c r="AK51" s="273"/>
      <c r="AL51" s="272"/>
      <c r="AM51" s="273"/>
      <c r="AN51" s="272"/>
      <c r="AO51" s="273"/>
      <c r="AP51" s="272"/>
      <c r="AQ51" s="273"/>
      <c r="AR51" s="272"/>
      <c r="AS51" s="273"/>
      <c r="AT51" s="272"/>
      <c r="AU51" s="670"/>
      <c r="AV51" s="272"/>
      <c r="AW51" s="670"/>
      <c r="AX51" s="272"/>
      <c r="AY51" s="666"/>
      <c r="AZ51" s="537">
        <f>SUM(AH51,AJ51,AL51,AN51,AP51,AR51,AT51,AV51,AX51)</f>
        <v>0</v>
      </c>
      <c r="BA51" s="539">
        <f>SUM(AI51,AK51,AM51,AO51,AQ51,AS51,AU51,AW51,AY51)</f>
        <v>0</v>
      </c>
      <c r="BB51" s="876">
        <f>'t1'!AS49</f>
        <v>0</v>
      </c>
    </row>
    <row r="52" spans="1:54" ht="12.9" customHeight="1" thickTop="1" thickBot="1">
      <c r="A52" s="33" t="s">
        <v>107</v>
      </c>
      <c r="B52" s="700"/>
      <c r="C52" s="464">
        <f t="shared" ref="C52:V52" si="22">SUM(C8:C51)</f>
        <v>0</v>
      </c>
      <c r="D52" s="465">
        <f t="shared" si="22"/>
        <v>108</v>
      </c>
      <c r="E52" s="464">
        <f t="shared" si="22"/>
        <v>0</v>
      </c>
      <c r="F52" s="465">
        <f t="shared" si="22"/>
        <v>38</v>
      </c>
      <c r="G52" s="464">
        <f>SUM(G8:G51)</f>
        <v>0</v>
      </c>
      <c r="H52" s="465">
        <f>SUM(H8:H51)</f>
        <v>0</v>
      </c>
      <c r="I52" s="464">
        <f t="shared" si="22"/>
        <v>0</v>
      </c>
      <c r="J52" s="465">
        <f t="shared" si="22"/>
        <v>0</v>
      </c>
      <c r="K52" s="464">
        <f t="shared" si="22"/>
        <v>0</v>
      </c>
      <c r="L52" s="465">
        <f t="shared" si="22"/>
        <v>0</v>
      </c>
      <c r="M52" s="464">
        <f>SUM(M8:M51)</f>
        <v>0</v>
      </c>
      <c r="N52" s="465">
        <f>SUM(N8:N51)</f>
        <v>3</v>
      </c>
      <c r="O52" s="464">
        <f t="shared" ref="O52:T52" si="23">SUM(O8:O51)</f>
        <v>0</v>
      </c>
      <c r="P52" s="671">
        <f t="shared" si="23"/>
        <v>0</v>
      </c>
      <c r="Q52" s="464">
        <f t="shared" si="23"/>
        <v>0</v>
      </c>
      <c r="R52" s="671">
        <f t="shared" si="23"/>
        <v>0</v>
      </c>
      <c r="S52" s="464">
        <f t="shared" si="23"/>
        <v>0</v>
      </c>
      <c r="T52" s="667">
        <f t="shared" si="23"/>
        <v>21</v>
      </c>
      <c r="U52" s="464">
        <f t="shared" si="22"/>
        <v>0</v>
      </c>
      <c r="V52" s="466">
        <f t="shared" si="22"/>
        <v>170</v>
      </c>
      <c r="AH52" s="464">
        <f t="shared" ref="AH52:AS52" si="24">SUM(AH8:AH51)</f>
        <v>0</v>
      </c>
      <c r="AI52" s="465">
        <f t="shared" si="24"/>
        <v>108</v>
      </c>
      <c r="AJ52" s="464">
        <f t="shared" si="24"/>
        <v>0</v>
      </c>
      <c r="AK52" s="465">
        <f t="shared" si="24"/>
        <v>38</v>
      </c>
      <c r="AL52" s="464">
        <f t="shared" si="24"/>
        <v>0</v>
      </c>
      <c r="AM52" s="465">
        <f t="shared" si="24"/>
        <v>0</v>
      </c>
      <c r="AN52" s="464">
        <f t="shared" si="24"/>
        <v>0</v>
      </c>
      <c r="AO52" s="465">
        <f t="shared" si="24"/>
        <v>0</v>
      </c>
      <c r="AP52" s="464">
        <f t="shared" si="24"/>
        <v>0</v>
      </c>
      <c r="AQ52" s="465">
        <f t="shared" si="24"/>
        <v>0</v>
      </c>
      <c r="AR52" s="464">
        <f t="shared" si="24"/>
        <v>0</v>
      </c>
      <c r="AS52" s="465">
        <f t="shared" si="24"/>
        <v>3</v>
      </c>
      <c r="AT52" s="464">
        <f t="shared" ref="AT52:BA52" si="25">SUM(AT8:AT51)</f>
        <v>0</v>
      </c>
      <c r="AU52" s="671">
        <f t="shared" si="25"/>
        <v>0</v>
      </c>
      <c r="AV52" s="464">
        <f t="shared" si="25"/>
        <v>0</v>
      </c>
      <c r="AW52" s="671">
        <f t="shared" si="25"/>
        <v>0</v>
      </c>
      <c r="AX52" s="464">
        <f t="shared" si="25"/>
        <v>0</v>
      </c>
      <c r="AY52" s="667">
        <f t="shared" si="25"/>
        <v>21</v>
      </c>
      <c r="AZ52" s="464">
        <f t="shared" si="25"/>
        <v>0</v>
      </c>
      <c r="BA52" s="466">
        <f t="shared" si="25"/>
        <v>170</v>
      </c>
    </row>
    <row r="53" spans="1:54" ht="17.25" customHeight="1">
      <c r="A53" s="25" t="str">
        <f>'t1'!$A$201</f>
        <v>(a) personale a tempo indeterminato al quale viene applicato un contratto di lavoro di tipo privatistico (es.:tipografico,chimico,edile,metalmeccanico,portierato, ecc.)</v>
      </c>
      <c r="B53" s="7"/>
      <c r="C53" s="5"/>
      <c r="D53" s="5"/>
      <c r="E53" s="5"/>
      <c r="F53" s="5"/>
      <c r="G53" s="5"/>
      <c r="I53" s="5"/>
      <c r="AH53" s="5"/>
      <c r="AI53" s="5"/>
      <c r="AJ53" s="5"/>
      <c r="AK53" s="5"/>
      <c r="AL53" s="5"/>
      <c r="AN53" s="5"/>
    </row>
    <row r="54" spans="1:54">
      <c r="A54" s="25" t="str">
        <f>'t1'!$A$202</f>
        <v>(b) cfr." istruzioni generali e specifiche di comparto" e "glossario"</v>
      </c>
    </row>
  </sheetData>
  <sheetProtection password="EA98" sheet="1" formatColumns="0" selectLockedCells="1"/>
  <mergeCells count="38">
    <mergeCell ref="AR5:AS5"/>
    <mergeCell ref="AT5:AU5"/>
    <mergeCell ref="AV5:AW5"/>
    <mergeCell ref="AX5:AY5"/>
    <mergeCell ref="AR4:AS4"/>
    <mergeCell ref="AT4:AU4"/>
    <mergeCell ref="AV4:AW4"/>
    <mergeCell ref="AX4:AY4"/>
    <mergeCell ref="O4:P4"/>
    <mergeCell ref="Q4:R4"/>
    <mergeCell ref="S4:T4"/>
    <mergeCell ref="S5:T5"/>
    <mergeCell ref="AP4:AQ4"/>
    <mergeCell ref="AH5:AI5"/>
    <mergeCell ref="AJ5:AK5"/>
    <mergeCell ref="AL5:AM5"/>
    <mergeCell ref="AN5:AO5"/>
    <mergeCell ref="AP5:AQ5"/>
    <mergeCell ref="I5:J5"/>
    <mergeCell ref="K4:L4"/>
    <mergeCell ref="K5:L5"/>
    <mergeCell ref="O5:P5"/>
    <mergeCell ref="AL2:AM2"/>
    <mergeCell ref="AN2:AO2"/>
    <mergeCell ref="AJ4:AK4"/>
    <mergeCell ref="AL4:AM4"/>
    <mergeCell ref="AN4:AO4"/>
    <mergeCell ref="M4:N4"/>
    <mergeCell ref="Q5:R5"/>
    <mergeCell ref="I2:J2"/>
    <mergeCell ref="C5:D5"/>
    <mergeCell ref="E5:F5"/>
    <mergeCell ref="E4:F4"/>
    <mergeCell ref="G2:H2"/>
    <mergeCell ref="G4:H4"/>
    <mergeCell ref="G5:H5"/>
    <mergeCell ref="M5:N5"/>
    <mergeCell ref="I4:J4"/>
  </mergeCells>
  <phoneticPr fontId="30" type="noConversion"/>
  <conditionalFormatting sqref="A8:V51">
    <cfRule type="expression" dxfId="7" priority="2" stopIfTrue="1">
      <formula>$W8&gt;0</formula>
    </cfRule>
  </conditionalFormatting>
  <conditionalFormatting sqref="AH8:BA51">
    <cfRule type="expression" dxfId="6" priority="1" stopIfTrue="1">
      <formula>$W8&gt;0</formula>
    </cfRule>
  </conditionalFormatting>
  <printOptions horizontalCentered="1" verticalCentered="1"/>
  <pageMargins left="0" right="0" top="0.19685039370078741" bottom="0.15748031496062992" header="0.15748031496062992" footer="0.19685039370078741"/>
  <pageSetup paperSize="9" scale="7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/>
  <dimension ref="A1:AJ54"/>
  <sheetViews>
    <sheetView showGridLines="0" zoomScaleNormal="100" workbookViewId="0">
      <pane xSplit="2" ySplit="5" topLeftCell="AA6" activePane="bottomRight" state="frozen"/>
      <selection activeCell="A2" sqref="A2"/>
      <selection pane="topRight" activeCell="A2" sqref="A2"/>
      <selection pane="bottomLeft" activeCell="A2" sqref="A2"/>
      <selection pane="bottomRight" activeCell="AA6" sqref="AA6"/>
    </sheetView>
  </sheetViews>
  <sheetFormatPr defaultColWidth="9.28515625" defaultRowHeight="10.199999999999999"/>
  <cols>
    <col min="1" max="1" width="42.42578125" style="5" customWidth="1"/>
    <col min="2" max="2" width="11" style="7" customWidth="1"/>
    <col min="3" max="3" width="14.85546875" style="5" hidden="1" customWidth="1"/>
    <col min="4" max="10" width="16.85546875" style="5" hidden="1" customWidth="1"/>
    <col min="11" max="26" width="9.28515625" style="5" hidden="1" customWidth="1"/>
    <col min="27" max="27" width="14.85546875" style="5" customWidth="1"/>
    <col min="28" max="34" width="16.85546875" style="5" customWidth="1"/>
    <col min="35" max="35" width="0" style="5" hidden="1" customWidth="1"/>
    <col min="36" max="16384" width="9.28515625" style="5"/>
  </cols>
  <sheetData>
    <row r="1" spans="1:36" ht="33" customHeight="1">
      <c r="A1" s="942" t="str">
        <f>'t1'!A1</f>
        <v>COMPARTO REGIONI ED AUTONOMIE LOCALI - anno 2017</v>
      </c>
      <c r="B1" s="942"/>
      <c r="C1" s="942"/>
      <c r="D1" s="942"/>
      <c r="E1" s="942"/>
      <c r="F1" s="942"/>
      <c r="G1" s="942"/>
      <c r="H1" s="942"/>
      <c r="I1" s="3"/>
      <c r="J1" s="311"/>
      <c r="L1"/>
      <c r="AD1" s="942"/>
      <c r="AG1" s="3"/>
      <c r="AH1" s="311"/>
      <c r="AJ1"/>
    </row>
    <row r="2" spans="1:36" ht="27" customHeight="1" thickBot="1">
      <c r="A2" s="6"/>
      <c r="H2" s="1443"/>
      <c r="I2" s="1443"/>
      <c r="J2" s="1443"/>
      <c r="AF2" s="1443"/>
      <c r="AG2" s="1443"/>
      <c r="AH2" s="1443"/>
    </row>
    <row r="3" spans="1:36" ht="10.8" thickBot="1">
      <c r="A3" s="12"/>
      <c r="B3" s="13"/>
      <c r="C3" s="129" t="s">
        <v>292</v>
      </c>
      <c r="D3" s="14"/>
      <c r="E3" s="14"/>
      <c r="F3" s="14"/>
      <c r="G3" s="14"/>
      <c r="H3" s="14"/>
      <c r="I3" s="125"/>
      <c r="J3" s="125"/>
      <c r="AA3" s="129" t="s">
        <v>292</v>
      </c>
      <c r="AB3" s="14"/>
      <c r="AC3" s="14"/>
      <c r="AD3" s="14"/>
      <c r="AE3" s="14"/>
      <c r="AF3" s="14"/>
      <c r="AG3" s="125"/>
      <c r="AH3" s="125"/>
    </row>
    <row r="4" spans="1:36" ht="41.4" thickTop="1">
      <c r="A4" s="26" t="s">
        <v>178</v>
      </c>
      <c r="B4" s="126" t="s">
        <v>103</v>
      </c>
      <c r="C4" s="127" t="s">
        <v>217</v>
      </c>
      <c r="D4" s="127" t="s">
        <v>179</v>
      </c>
      <c r="E4" s="1230" t="s">
        <v>1048</v>
      </c>
      <c r="F4" s="1231" t="s">
        <v>1049</v>
      </c>
      <c r="G4" s="127" t="s">
        <v>142</v>
      </c>
      <c r="H4" s="127" t="s">
        <v>216</v>
      </c>
      <c r="I4" s="127" t="s">
        <v>143</v>
      </c>
      <c r="J4" s="704" t="s">
        <v>107</v>
      </c>
      <c r="AA4" s="127" t="s">
        <v>217</v>
      </c>
      <c r="AB4" s="127" t="s">
        <v>179</v>
      </c>
      <c r="AC4" s="1232" t="s">
        <v>1048</v>
      </c>
      <c r="AD4" s="1231" t="s">
        <v>1049</v>
      </c>
      <c r="AE4" s="127" t="s">
        <v>142</v>
      </c>
      <c r="AF4" s="127" t="s">
        <v>216</v>
      </c>
      <c r="AG4" s="127" t="s">
        <v>143</v>
      </c>
      <c r="AH4" s="704" t="s">
        <v>107</v>
      </c>
    </row>
    <row r="5" spans="1:36" s="269" customFormat="1" ht="10.8" thickBot="1">
      <c r="A5" s="877" t="s">
        <v>825</v>
      </c>
      <c r="B5" s="287"/>
      <c r="C5" s="288" t="s">
        <v>692</v>
      </c>
      <c r="D5" s="288" t="s">
        <v>688</v>
      </c>
      <c r="E5" s="288" t="s">
        <v>1047</v>
      </c>
      <c r="F5" s="288" t="s">
        <v>1050</v>
      </c>
      <c r="G5" s="288" t="s">
        <v>689</v>
      </c>
      <c r="H5" s="288" t="s">
        <v>690</v>
      </c>
      <c r="I5" s="288" t="s">
        <v>691</v>
      </c>
      <c r="J5" s="289"/>
      <c r="AA5" s="288" t="s">
        <v>692</v>
      </c>
      <c r="AB5" s="288" t="s">
        <v>688</v>
      </c>
      <c r="AC5" s="288" t="s">
        <v>1047</v>
      </c>
      <c r="AD5" s="288" t="s">
        <v>1050</v>
      </c>
      <c r="AE5" s="288" t="s">
        <v>689</v>
      </c>
      <c r="AF5" s="288" t="s">
        <v>690</v>
      </c>
      <c r="AG5" s="288" t="s">
        <v>691</v>
      </c>
      <c r="AH5" s="289"/>
    </row>
    <row r="6" spans="1:36" ht="12.75" customHeight="1" thickTop="1">
      <c r="A6" s="152" t="str">
        <f>'t1'!A6</f>
        <v>SEGRETARIO A</v>
      </c>
      <c r="B6" s="224" t="str">
        <f>'t1'!B6</f>
        <v>0D0102</v>
      </c>
      <c r="C6" s="210">
        <f>ROUND(AA6,2)</f>
        <v>0</v>
      </c>
      <c r="D6" s="954">
        <f>ROUND(AB6,0)</f>
        <v>0</v>
      </c>
      <c r="E6" s="954">
        <f>ROUND(AC6,0)</f>
        <v>0</v>
      </c>
      <c r="F6" s="954">
        <f>ROUND(AD6,0)</f>
        <v>0</v>
      </c>
      <c r="G6" s="954">
        <f t="shared" ref="G6:G49" si="0">ROUND(AE6,0)</f>
        <v>0</v>
      </c>
      <c r="H6" s="954">
        <f t="shared" ref="H6:H49" si="1">ROUND(AF6,0)</f>
        <v>0</v>
      </c>
      <c r="I6" s="955">
        <f t="shared" ref="I6:I49" si="2">ROUND(AG6,0)</f>
        <v>0</v>
      </c>
      <c r="J6" s="470">
        <f>(D6+E6+F6+G6+H6)-I6</f>
        <v>0</v>
      </c>
      <c r="K6" s="867">
        <f>'t1'!N6</f>
        <v>0</v>
      </c>
      <c r="AA6" s="210"/>
      <c r="AB6" s="208"/>
      <c r="AC6" s="208"/>
      <c r="AD6" s="954"/>
      <c r="AE6" s="208"/>
      <c r="AF6" s="208"/>
      <c r="AG6" s="209"/>
      <c r="AH6" s="470">
        <f>(AB6+AC6+AD6+AE6+AF6)-AG6</f>
        <v>0</v>
      </c>
      <c r="AI6" s="867">
        <f>'t1'!AL6</f>
        <v>0</v>
      </c>
    </row>
    <row r="7" spans="1:36" ht="12" customHeight="1">
      <c r="A7" s="152" t="str">
        <f>'t1'!A7</f>
        <v>SEGRETARIO B</v>
      </c>
      <c r="B7" s="224" t="str">
        <f>'t1'!B7</f>
        <v>0D0103</v>
      </c>
      <c r="C7" s="210">
        <f t="shared" ref="C7:C49" si="3">ROUND(AA7,2)</f>
        <v>0</v>
      </c>
      <c r="D7" s="954">
        <f t="shared" ref="D7:D49" si="4">ROUND(AB7,0)</f>
        <v>0</v>
      </c>
      <c r="E7" s="954">
        <f t="shared" ref="E7:E49" si="5">ROUND(AC7,0)</f>
        <v>0</v>
      </c>
      <c r="F7" s="954">
        <f t="shared" ref="F7:F49" si="6">ROUND(AD7,0)</f>
        <v>0</v>
      </c>
      <c r="G7" s="954">
        <f t="shared" si="0"/>
        <v>0</v>
      </c>
      <c r="H7" s="954">
        <f t="shared" si="1"/>
        <v>0</v>
      </c>
      <c r="I7" s="955">
        <f t="shared" si="2"/>
        <v>0</v>
      </c>
      <c r="J7" s="470">
        <f t="shared" ref="J7:J49" si="7">(D7+E7+F7+G7+H7)-I7</f>
        <v>0</v>
      </c>
      <c r="K7" s="867">
        <f>'t1'!N7</f>
        <v>0</v>
      </c>
      <c r="AA7" s="210"/>
      <c r="AB7" s="208"/>
      <c r="AC7" s="208"/>
      <c r="AD7" s="954"/>
      <c r="AE7" s="208"/>
      <c r="AF7" s="208"/>
      <c r="AG7" s="209"/>
      <c r="AH7" s="470">
        <f t="shared" ref="AH7:AH49" si="8">(AB7+AC7+AD7+AE7+AF7)-AG7</f>
        <v>0</v>
      </c>
      <c r="AI7" s="867">
        <f>'t1'!AL7</f>
        <v>0</v>
      </c>
    </row>
    <row r="8" spans="1:36" ht="12" customHeight="1">
      <c r="A8" s="152" t="str">
        <f>'t1'!A8</f>
        <v>SEGRETARIO C</v>
      </c>
      <c r="B8" s="224" t="str">
        <f>'t1'!B8</f>
        <v>0D0485</v>
      </c>
      <c r="C8" s="210">
        <f t="shared" si="3"/>
        <v>0</v>
      </c>
      <c r="D8" s="954">
        <f>ROUND(AB8,0)</f>
        <v>0</v>
      </c>
      <c r="E8" s="954">
        <f t="shared" si="5"/>
        <v>0</v>
      </c>
      <c r="F8" s="954">
        <f t="shared" si="6"/>
        <v>0</v>
      </c>
      <c r="G8" s="954">
        <f t="shared" si="0"/>
        <v>0</v>
      </c>
      <c r="H8" s="954">
        <f t="shared" si="1"/>
        <v>0</v>
      </c>
      <c r="I8" s="955">
        <f t="shared" si="2"/>
        <v>0</v>
      </c>
      <c r="J8" s="470">
        <f t="shared" si="7"/>
        <v>0</v>
      </c>
      <c r="K8" s="867">
        <f>'t1'!N8</f>
        <v>0</v>
      </c>
      <c r="AA8" s="210"/>
      <c r="AB8" s="208"/>
      <c r="AC8" s="208"/>
      <c r="AD8" s="954"/>
      <c r="AE8" s="208"/>
      <c r="AF8" s="208"/>
      <c r="AG8" s="209"/>
      <c r="AH8" s="470">
        <f t="shared" si="8"/>
        <v>0</v>
      </c>
      <c r="AI8" s="867">
        <f>'t1'!AL8</f>
        <v>0</v>
      </c>
    </row>
    <row r="9" spans="1:36" ht="12" customHeight="1">
      <c r="A9" s="152" t="str">
        <f>'t1'!A9</f>
        <v>SEGRETARIO GENERALE CCIAA</v>
      </c>
      <c r="B9" s="224" t="str">
        <f>'t1'!B9</f>
        <v>0D0104</v>
      </c>
      <c r="C9" s="210">
        <f t="shared" si="3"/>
        <v>0</v>
      </c>
      <c r="D9" s="954">
        <f t="shared" si="4"/>
        <v>0</v>
      </c>
      <c r="E9" s="954">
        <f t="shared" si="5"/>
        <v>0</v>
      </c>
      <c r="F9" s="954">
        <f t="shared" si="6"/>
        <v>0</v>
      </c>
      <c r="G9" s="954">
        <f t="shared" si="0"/>
        <v>0</v>
      </c>
      <c r="H9" s="954">
        <f t="shared" si="1"/>
        <v>0</v>
      </c>
      <c r="I9" s="955">
        <f t="shared" si="2"/>
        <v>0</v>
      </c>
      <c r="J9" s="470">
        <f t="shared" si="7"/>
        <v>0</v>
      </c>
      <c r="K9" s="867">
        <f>'t1'!N9</f>
        <v>0</v>
      </c>
      <c r="AA9" s="210"/>
      <c r="AB9" s="208"/>
      <c r="AC9" s="208"/>
      <c r="AD9" s="954"/>
      <c r="AE9" s="208"/>
      <c r="AF9" s="208"/>
      <c r="AG9" s="209"/>
      <c r="AH9" s="470">
        <f t="shared" si="8"/>
        <v>0</v>
      </c>
      <c r="AI9" s="867">
        <f>'t1'!AL9</f>
        <v>0</v>
      </c>
    </row>
    <row r="10" spans="1:36" ht="12" customHeight="1">
      <c r="A10" s="152" t="str">
        <f>'t1'!A10</f>
        <v>DIRETTORE  GENERALE</v>
      </c>
      <c r="B10" s="224" t="str">
        <f>'t1'!B10</f>
        <v>0D0097</v>
      </c>
      <c r="C10" s="210">
        <f t="shared" si="3"/>
        <v>0</v>
      </c>
      <c r="D10" s="954">
        <f t="shared" si="4"/>
        <v>0</v>
      </c>
      <c r="E10" s="954">
        <f t="shared" si="5"/>
        <v>0</v>
      </c>
      <c r="F10" s="954">
        <f t="shared" si="6"/>
        <v>0</v>
      </c>
      <c r="G10" s="954">
        <f t="shared" si="0"/>
        <v>0</v>
      </c>
      <c r="H10" s="954">
        <f t="shared" si="1"/>
        <v>0</v>
      </c>
      <c r="I10" s="955">
        <f t="shared" si="2"/>
        <v>0</v>
      </c>
      <c r="J10" s="470">
        <f t="shared" si="7"/>
        <v>0</v>
      </c>
      <c r="K10" s="867">
        <f>'t1'!N10</f>
        <v>0</v>
      </c>
      <c r="AA10" s="210"/>
      <c r="AB10" s="208"/>
      <c r="AC10" s="208"/>
      <c r="AD10" s="954"/>
      <c r="AE10" s="208"/>
      <c r="AF10" s="208"/>
      <c r="AG10" s="209"/>
      <c r="AH10" s="470">
        <f t="shared" si="8"/>
        <v>0</v>
      </c>
      <c r="AI10" s="867">
        <f>'t1'!AL10</f>
        <v>0</v>
      </c>
    </row>
    <row r="11" spans="1:36" ht="12" customHeight="1">
      <c r="A11" s="152" t="str">
        <f>'t1'!A11</f>
        <v>DIRIGENTE FUORI D.O. art.110 c.2 TUEL</v>
      </c>
      <c r="B11" s="224" t="str">
        <f>'t1'!B11</f>
        <v>0D0098</v>
      </c>
      <c r="C11" s="210">
        <f>ROUND(AA11,2)</f>
        <v>0</v>
      </c>
      <c r="D11" s="954">
        <f t="shared" si="4"/>
        <v>0</v>
      </c>
      <c r="E11" s="954">
        <f t="shared" si="5"/>
        <v>0</v>
      </c>
      <c r="F11" s="954">
        <f t="shared" si="6"/>
        <v>0</v>
      </c>
      <c r="G11" s="954">
        <f t="shared" si="0"/>
        <v>0</v>
      </c>
      <c r="H11" s="954">
        <f t="shared" si="1"/>
        <v>0</v>
      </c>
      <c r="I11" s="955">
        <f t="shared" si="2"/>
        <v>0</v>
      </c>
      <c r="J11" s="470">
        <f t="shared" si="7"/>
        <v>0</v>
      </c>
      <c r="K11" s="867">
        <f>'t1'!N11</f>
        <v>0</v>
      </c>
      <c r="AA11" s="210"/>
      <c r="AB11" s="208"/>
      <c r="AC11" s="208"/>
      <c r="AD11" s="954"/>
      <c r="AE11" s="208"/>
      <c r="AF11" s="208"/>
      <c r="AG11" s="209"/>
      <c r="AH11" s="470">
        <f t="shared" si="8"/>
        <v>0</v>
      </c>
      <c r="AI11" s="867">
        <f>'t1'!AL11</f>
        <v>0</v>
      </c>
    </row>
    <row r="12" spans="1:36" ht="12" customHeight="1">
      <c r="A12" s="152" t="str">
        <f>'t1'!A12</f>
        <v>ALTE SPECIALIZZ. FUORI D.O.art.110 c.2 TUEL</v>
      </c>
      <c r="B12" s="224" t="str">
        <f>'t1'!B12</f>
        <v>0D0095</v>
      </c>
      <c r="C12" s="210">
        <f t="shared" si="3"/>
        <v>0</v>
      </c>
      <c r="D12" s="954">
        <f t="shared" si="4"/>
        <v>0</v>
      </c>
      <c r="E12" s="954">
        <f t="shared" si="5"/>
        <v>0</v>
      </c>
      <c r="F12" s="954">
        <f t="shared" si="6"/>
        <v>0</v>
      </c>
      <c r="G12" s="954">
        <f t="shared" si="0"/>
        <v>0</v>
      </c>
      <c r="H12" s="954">
        <f t="shared" si="1"/>
        <v>0</v>
      </c>
      <c r="I12" s="955">
        <f t="shared" si="2"/>
        <v>0</v>
      </c>
      <c r="J12" s="470">
        <f t="shared" si="7"/>
        <v>0</v>
      </c>
      <c r="K12" s="867">
        <f>'t1'!N12</f>
        <v>0</v>
      </c>
      <c r="AA12" s="210"/>
      <c r="AB12" s="208"/>
      <c r="AC12" s="208"/>
      <c r="AD12" s="954"/>
      <c r="AE12" s="208"/>
      <c r="AF12" s="208"/>
      <c r="AG12" s="209"/>
      <c r="AH12" s="470">
        <f t="shared" si="8"/>
        <v>0</v>
      </c>
      <c r="AI12" s="867">
        <f>'t1'!AL12</f>
        <v>0</v>
      </c>
    </row>
    <row r="13" spans="1:36" ht="12" customHeight="1">
      <c r="A13" s="152" t="str">
        <f>'t1'!A13</f>
        <v>DIRIGENTE A TEMPO INDETERMINATO</v>
      </c>
      <c r="B13" s="224" t="str">
        <f>'t1'!B13</f>
        <v>0D0164</v>
      </c>
      <c r="C13" s="210">
        <f t="shared" si="3"/>
        <v>0</v>
      </c>
      <c r="D13" s="954">
        <f t="shared" si="4"/>
        <v>0</v>
      </c>
      <c r="E13" s="954">
        <f t="shared" si="5"/>
        <v>0</v>
      </c>
      <c r="F13" s="954">
        <f t="shared" si="6"/>
        <v>0</v>
      </c>
      <c r="G13" s="954">
        <f t="shared" si="0"/>
        <v>0</v>
      </c>
      <c r="H13" s="954">
        <f t="shared" si="1"/>
        <v>0</v>
      </c>
      <c r="I13" s="955">
        <f t="shared" si="2"/>
        <v>0</v>
      </c>
      <c r="J13" s="470">
        <f t="shared" si="7"/>
        <v>0</v>
      </c>
      <c r="K13" s="867">
        <f>'t1'!N13</f>
        <v>0</v>
      </c>
      <c r="AA13" s="210"/>
      <c r="AB13" s="208"/>
      <c r="AC13" s="208"/>
      <c r="AD13" s="954"/>
      <c r="AE13" s="208"/>
      <c r="AF13" s="208"/>
      <c r="AG13" s="209"/>
      <c r="AH13" s="470">
        <f t="shared" si="8"/>
        <v>0</v>
      </c>
      <c r="AI13" s="867">
        <f>'t1'!AL13</f>
        <v>0</v>
      </c>
    </row>
    <row r="14" spans="1:36" ht="12" customHeight="1">
      <c r="A14" s="152" t="str">
        <f>'t1'!A14</f>
        <v>DIRIGENTE A TEMPO DET.TO  ART.110 C.1 TUEL</v>
      </c>
      <c r="B14" s="224" t="str">
        <f>'t1'!B14</f>
        <v>0D0165</v>
      </c>
      <c r="C14" s="210">
        <f t="shared" si="3"/>
        <v>0</v>
      </c>
      <c r="D14" s="954">
        <f t="shared" si="4"/>
        <v>0</v>
      </c>
      <c r="E14" s="954">
        <f t="shared" si="5"/>
        <v>0</v>
      </c>
      <c r="F14" s="954">
        <f t="shared" si="6"/>
        <v>0</v>
      </c>
      <c r="G14" s="954">
        <f t="shared" si="0"/>
        <v>0</v>
      </c>
      <c r="H14" s="954">
        <f t="shared" si="1"/>
        <v>0</v>
      </c>
      <c r="I14" s="955">
        <f t="shared" si="2"/>
        <v>0</v>
      </c>
      <c r="J14" s="470">
        <f t="shared" si="7"/>
        <v>0</v>
      </c>
      <c r="K14" s="867">
        <f>'t1'!N14</f>
        <v>0</v>
      </c>
      <c r="AA14" s="210"/>
      <c r="AB14" s="208"/>
      <c r="AC14" s="208"/>
      <c r="AD14" s="954"/>
      <c r="AE14" s="208"/>
      <c r="AF14" s="208"/>
      <c r="AG14" s="209"/>
      <c r="AH14" s="470">
        <f t="shared" si="8"/>
        <v>0</v>
      </c>
      <c r="AI14" s="867">
        <f>'t1'!AL14</f>
        <v>0</v>
      </c>
    </row>
    <row r="15" spans="1:36" ht="12" customHeight="1">
      <c r="A15" s="152" t="str">
        <f>'t1'!A15</f>
        <v>ALTE SPECIALIZZ. IN D.O. art.110 c.1 TUEL</v>
      </c>
      <c r="B15" s="224" t="str">
        <f>'t1'!B15</f>
        <v>0D0I95</v>
      </c>
      <c r="C15" s="210">
        <f t="shared" si="3"/>
        <v>0</v>
      </c>
      <c r="D15" s="954">
        <f t="shared" si="4"/>
        <v>0</v>
      </c>
      <c r="E15" s="954">
        <f t="shared" si="5"/>
        <v>0</v>
      </c>
      <c r="F15" s="954">
        <f t="shared" si="6"/>
        <v>0</v>
      </c>
      <c r="G15" s="954">
        <f t="shared" si="0"/>
        <v>0</v>
      </c>
      <c r="H15" s="954">
        <f t="shared" si="1"/>
        <v>0</v>
      </c>
      <c r="I15" s="955">
        <f t="shared" si="2"/>
        <v>0</v>
      </c>
      <c r="J15" s="470">
        <f t="shared" si="7"/>
        <v>0</v>
      </c>
      <c r="K15" s="867">
        <f>'t1'!N15</f>
        <v>0</v>
      </c>
      <c r="AA15" s="210"/>
      <c r="AB15" s="208"/>
      <c r="AC15" s="208"/>
      <c r="AD15" s="954"/>
      <c r="AE15" s="208"/>
      <c r="AF15" s="208"/>
      <c r="AG15" s="209"/>
      <c r="AH15" s="470">
        <f t="shared" si="8"/>
        <v>0</v>
      </c>
      <c r="AI15" s="867">
        <f>'t1'!AL15</f>
        <v>0</v>
      </c>
    </row>
    <row r="16" spans="1:36" ht="12" customHeight="1">
      <c r="A16" s="152" t="str">
        <f>'t1'!A16</f>
        <v>POSIZ. ECON. D6 - PROFILI ACCESSO D3</v>
      </c>
      <c r="B16" s="224" t="str">
        <f>'t1'!B16</f>
        <v>0D6A00</v>
      </c>
      <c r="C16" s="210">
        <f t="shared" si="3"/>
        <v>0</v>
      </c>
      <c r="D16" s="954">
        <f t="shared" si="4"/>
        <v>0</v>
      </c>
      <c r="E16" s="954">
        <f t="shared" si="5"/>
        <v>0</v>
      </c>
      <c r="F16" s="954">
        <f t="shared" si="6"/>
        <v>0</v>
      </c>
      <c r="G16" s="954">
        <f t="shared" si="0"/>
        <v>0</v>
      </c>
      <c r="H16" s="954">
        <f t="shared" si="1"/>
        <v>0</v>
      </c>
      <c r="I16" s="955">
        <f t="shared" si="2"/>
        <v>0</v>
      </c>
      <c r="J16" s="470">
        <f t="shared" si="7"/>
        <v>0</v>
      </c>
      <c r="K16" s="867">
        <f>'t1'!N16</f>
        <v>0</v>
      </c>
      <c r="AA16" s="210"/>
      <c r="AB16" s="208"/>
      <c r="AC16" s="208"/>
      <c r="AD16" s="954"/>
      <c r="AE16" s="208"/>
      <c r="AF16" s="208"/>
      <c r="AG16" s="209"/>
      <c r="AH16" s="470">
        <f t="shared" si="8"/>
        <v>0</v>
      </c>
      <c r="AI16" s="867">
        <f>'t1'!AL16</f>
        <v>0</v>
      </c>
    </row>
    <row r="17" spans="1:35" ht="12" customHeight="1">
      <c r="A17" s="152" t="str">
        <f>'t1'!A17</f>
        <v>POSIZ. ECON. D6 - PROFILO ACCESSO D1</v>
      </c>
      <c r="B17" s="224" t="str">
        <f>'t1'!B17</f>
        <v>0D6000</v>
      </c>
      <c r="C17" s="210">
        <f t="shared" si="3"/>
        <v>0</v>
      </c>
      <c r="D17" s="954">
        <f t="shared" si="4"/>
        <v>0</v>
      </c>
      <c r="E17" s="954">
        <f t="shared" si="5"/>
        <v>0</v>
      </c>
      <c r="F17" s="954">
        <f t="shared" si="6"/>
        <v>0</v>
      </c>
      <c r="G17" s="954">
        <f t="shared" si="0"/>
        <v>0</v>
      </c>
      <c r="H17" s="954">
        <f t="shared" si="1"/>
        <v>0</v>
      </c>
      <c r="I17" s="955">
        <f t="shared" si="2"/>
        <v>0</v>
      </c>
      <c r="J17" s="470">
        <f t="shared" si="7"/>
        <v>0</v>
      </c>
      <c r="K17" s="867">
        <f>'t1'!N17</f>
        <v>0</v>
      </c>
      <c r="AA17" s="210"/>
      <c r="AB17" s="208"/>
      <c r="AC17" s="208"/>
      <c r="AD17" s="954"/>
      <c r="AE17" s="208"/>
      <c r="AF17" s="208"/>
      <c r="AG17" s="209"/>
      <c r="AH17" s="470">
        <f t="shared" si="8"/>
        <v>0</v>
      </c>
      <c r="AI17" s="867">
        <f>'t1'!AL17</f>
        <v>0</v>
      </c>
    </row>
    <row r="18" spans="1:35" ht="12" customHeight="1">
      <c r="A18" s="152" t="str">
        <f>'t1'!A18</f>
        <v>POSIZ. ECON. D5 PROFILI ACCESSO D3</v>
      </c>
      <c r="B18" s="224" t="str">
        <f>'t1'!B18</f>
        <v>052486</v>
      </c>
      <c r="C18" s="210">
        <f t="shared" si="3"/>
        <v>0</v>
      </c>
      <c r="D18" s="954">
        <f t="shared" si="4"/>
        <v>0</v>
      </c>
      <c r="E18" s="954">
        <f t="shared" si="5"/>
        <v>0</v>
      </c>
      <c r="F18" s="954">
        <f t="shared" si="6"/>
        <v>0</v>
      </c>
      <c r="G18" s="954">
        <f t="shared" si="0"/>
        <v>0</v>
      </c>
      <c r="H18" s="954">
        <f t="shared" si="1"/>
        <v>0</v>
      </c>
      <c r="I18" s="955">
        <f t="shared" si="2"/>
        <v>0</v>
      </c>
      <c r="J18" s="470">
        <f t="shared" si="7"/>
        <v>0</v>
      </c>
      <c r="K18" s="867">
        <f>'t1'!N18</f>
        <v>0</v>
      </c>
      <c r="AA18" s="210"/>
      <c r="AB18" s="208"/>
      <c r="AC18" s="208"/>
      <c r="AD18" s="954"/>
      <c r="AE18" s="208"/>
      <c r="AF18" s="208"/>
      <c r="AG18" s="209"/>
      <c r="AH18" s="470">
        <f t="shared" si="8"/>
        <v>0</v>
      </c>
      <c r="AI18" s="867">
        <f>'t1'!AL18</f>
        <v>0</v>
      </c>
    </row>
    <row r="19" spans="1:35" ht="12" customHeight="1">
      <c r="A19" s="152" t="str">
        <f>'t1'!A19</f>
        <v>POSIZ. ECON. D5 PROFILI ACCESSO D1</v>
      </c>
      <c r="B19" s="224" t="str">
        <f>'t1'!B19</f>
        <v>052487</v>
      </c>
      <c r="C19" s="210">
        <f t="shared" si="3"/>
        <v>0</v>
      </c>
      <c r="D19" s="954">
        <f t="shared" si="4"/>
        <v>0</v>
      </c>
      <c r="E19" s="954">
        <f t="shared" si="5"/>
        <v>0</v>
      </c>
      <c r="F19" s="954">
        <f t="shared" si="6"/>
        <v>0</v>
      </c>
      <c r="G19" s="954">
        <f t="shared" si="0"/>
        <v>0</v>
      </c>
      <c r="H19" s="954">
        <f t="shared" si="1"/>
        <v>0</v>
      </c>
      <c r="I19" s="955">
        <f t="shared" si="2"/>
        <v>0</v>
      </c>
      <c r="J19" s="470">
        <f t="shared" si="7"/>
        <v>0</v>
      </c>
      <c r="K19" s="867">
        <f>'t1'!N19</f>
        <v>0</v>
      </c>
      <c r="AA19" s="210"/>
      <c r="AB19" s="208"/>
      <c r="AC19" s="208"/>
      <c r="AD19" s="954"/>
      <c r="AE19" s="208"/>
      <c r="AF19" s="208"/>
      <c r="AG19" s="209"/>
      <c r="AH19" s="470">
        <f t="shared" si="8"/>
        <v>0</v>
      </c>
      <c r="AI19" s="867">
        <f>'t1'!AL19</f>
        <v>0</v>
      </c>
    </row>
    <row r="20" spans="1:35" ht="12" customHeight="1">
      <c r="A20" s="152" t="str">
        <f>'t1'!A20</f>
        <v>POSIZ. ECON. D4 PROFILI ACCESSO D3</v>
      </c>
      <c r="B20" s="224" t="str">
        <f>'t1'!B20</f>
        <v>051488</v>
      </c>
      <c r="C20" s="210">
        <f t="shared" si="3"/>
        <v>0</v>
      </c>
      <c r="D20" s="954">
        <f t="shared" si="4"/>
        <v>0</v>
      </c>
      <c r="E20" s="954">
        <f t="shared" si="5"/>
        <v>0</v>
      </c>
      <c r="F20" s="954">
        <f t="shared" si="6"/>
        <v>0</v>
      </c>
      <c r="G20" s="954">
        <f t="shared" si="0"/>
        <v>0</v>
      </c>
      <c r="H20" s="954">
        <f t="shared" si="1"/>
        <v>0</v>
      </c>
      <c r="I20" s="955">
        <f t="shared" si="2"/>
        <v>0</v>
      </c>
      <c r="J20" s="470">
        <f t="shared" si="7"/>
        <v>0</v>
      </c>
      <c r="K20" s="867">
        <f>'t1'!N20</f>
        <v>0</v>
      </c>
      <c r="AA20" s="210"/>
      <c r="AB20" s="208"/>
      <c r="AC20" s="208"/>
      <c r="AD20" s="954"/>
      <c r="AE20" s="208"/>
      <c r="AF20" s="208"/>
      <c r="AG20" s="209"/>
      <c r="AH20" s="470">
        <f t="shared" si="8"/>
        <v>0</v>
      </c>
      <c r="AI20" s="867">
        <f>'t1'!AL20</f>
        <v>0</v>
      </c>
    </row>
    <row r="21" spans="1:35" ht="12" customHeight="1">
      <c r="A21" s="152" t="str">
        <f>'t1'!A21</f>
        <v>POSIZ. ECON. D4 PROFILI ACCESSO D1</v>
      </c>
      <c r="B21" s="224" t="str">
        <f>'t1'!B21</f>
        <v>051489</v>
      </c>
      <c r="C21" s="210">
        <f t="shared" si="3"/>
        <v>0</v>
      </c>
      <c r="D21" s="954">
        <f t="shared" si="4"/>
        <v>0</v>
      </c>
      <c r="E21" s="954">
        <f t="shared" si="5"/>
        <v>0</v>
      </c>
      <c r="F21" s="954">
        <f t="shared" si="6"/>
        <v>0</v>
      </c>
      <c r="G21" s="954">
        <f t="shared" si="0"/>
        <v>0</v>
      </c>
      <c r="H21" s="954">
        <f t="shared" si="1"/>
        <v>0</v>
      </c>
      <c r="I21" s="955">
        <f t="shared" si="2"/>
        <v>0</v>
      </c>
      <c r="J21" s="470">
        <f t="shared" si="7"/>
        <v>0</v>
      </c>
      <c r="K21" s="867">
        <f>'t1'!N21</f>
        <v>0</v>
      </c>
      <c r="AA21" s="210"/>
      <c r="AB21" s="208"/>
      <c r="AC21" s="208"/>
      <c r="AD21" s="954"/>
      <c r="AE21" s="208"/>
      <c r="AF21" s="208"/>
      <c r="AG21" s="209"/>
      <c r="AH21" s="470">
        <f t="shared" si="8"/>
        <v>0</v>
      </c>
      <c r="AI21" s="867">
        <f>'t1'!AL21</f>
        <v>0</v>
      </c>
    </row>
    <row r="22" spans="1:35" ht="12" customHeight="1">
      <c r="A22" s="152" t="str">
        <f>'t1'!A22</f>
        <v>POSIZIONE ECONOMICA DI ACCESSO D3</v>
      </c>
      <c r="B22" s="224" t="str">
        <f>'t1'!B22</f>
        <v>058000</v>
      </c>
      <c r="C22" s="210">
        <f t="shared" si="3"/>
        <v>0</v>
      </c>
      <c r="D22" s="954">
        <f t="shared" si="4"/>
        <v>0</v>
      </c>
      <c r="E22" s="954">
        <f t="shared" si="5"/>
        <v>0</v>
      </c>
      <c r="F22" s="954">
        <f t="shared" si="6"/>
        <v>0</v>
      </c>
      <c r="G22" s="954">
        <f t="shared" si="0"/>
        <v>0</v>
      </c>
      <c r="H22" s="954">
        <f t="shared" si="1"/>
        <v>0</v>
      </c>
      <c r="I22" s="955">
        <f t="shared" si="2"/>
        <v>0</v>
      </c>
      <c r="J22" s="470">
        <f t="shared" si="7"/>
        <v>0</v>
      </c>
      <c r="K22" s="867">
        <f>'t1'!N22</f>
        <v>0</v>
      </c>
      <c r="AA22" s="210"/>
      <c r="AB22" s="208"/>
      <c r="AC22" s="208"/>
      <c r="AD22" s="954"/>
      <c r="AE22" s="208"/>
      <c r="AF22" s="208"/>
      <c r="AG22" s="209"/>
      <c r="AH22" s="470">
        <f t="shared" si="8"/>
        <v>0</v>
      </c>
      <c r="AI22" s="867">
        <f>'t1'!AL22</f>
        <v>0</v>
      </c>
    </row>
    <row r="23" spans="1:35" ht="12" customHeight="1">
      <c r="A23" s="152" t="str">
        <f>'t1'!A23</f>
        <v>POSIZIONE ECONOMICA D3</v>
      </c>
      <c r="B23" s="224" t="str">
        <f>'t1'!B23</f>
        <v>050000</v>
      </c>
      <c r="C23" s="210">
        <f t="shared" si="3"/>
        <v>0</v>
      </c>
      <c r="D23" s="954">
        <f t="shared" si="4"/>
        <v>0</v>
      </c>
      <c r="E23" s="954">
        <f t="shared" si="5"/>
        <v>0</v>
      </c>
      <c r="F23" s="954">
        <f t="shared" si="6"/>
        <v>0</v>
      </c>
      <c r="G23" s="954">
        <f t="shared" si="0"/>
        <v>0</v>
      </c>
      <c r="H23" s="954">
        <f t="shared" si="1"/>
        <v>0</v>
      </c>
      <c r="I23" s="955">
        <f t="shared" si="2"/>
        <v>0</v>
      </c>
      <c r="J23" s="470">
        <f t="shared" si="7"/>
        <v>0</v>
      </c>
      <c r="K23" s="867">
        <f>'t1'!N23</f>
        <v>0</v>
      </c>
      <c r="AA23" s="210"/>
      <c r="AB23" s="208"/>
      <c r="AC23" s="208"/>
      <c r="AD23" s="954"/>
      <c r="AE23" s="208"/>
      <c r="AF23" s="208"/>
      <c r="AG23" s="209"/>
      <c r="AH23" s="470">
        <f t="shared" si="8"/>
        <v>0</v>
      </c>
      <c r="AI23" s="867">
        <f>'t1'!AL23</f>
        <v>0</v>
      </c>
    </row>
    <row r="24" spans="1:35" ht="12" customHeight="1">
      <c r="A24" s="152" t="str">
        <f>'t1'!A24</f>
        <v>POSIZIONE ECONOMICA D2</v>
      </c>
      <c r="B24" s="224" t="str">
        <f>'t1'!B24</f>
        <v>049000</v>
      </c>
      <c r="C24" s="210">
        <f t="shared" si="3"/>
        <v>7.24</v>
      </c>
      <c r="D24" s="954">
        <f t="shared" si="4"/>
        <v>13403</v>
      </c>
      <c r="E24" s="954">
        <f t="shared" si="5"/>
        <v>0</v>
      </c>
      <c r="F24" s="954">
        <f t="shared" si="6"/>
        <v>0</v>
      </c>
      <c r="G24" s="954">
        <f t="shared" si="0"/>
        <v>1282</v>
      </c>
      <c r="H24" s="954">
        <f t="shared" si="1"/>
        <v>0</v>
      </c>
      <c r="I24" s="955">
        <f t="shared" si="2"/>
        <v>0</v>
      </c>
      <c r="J24" s="470">
        <f t="shared" si="7"/>
        <v>14685</v>
      </c>
      <c r="K24" s="867">
        <f>'t1'!N24</f>
        <v>0</v>
      </c>
      <c r="AA24" s="210">
        <v>7.24</v>
      </c>
      <c r="AB24" s="208">
        <v>13403</v>
      </c>
      <c r="AC24" s="208"/>
      <c r="AD24" s="954"/>
      <c r="AE24" s="208">
        <v>1282</v>
      </c>
      <c r="AF24" s="208"/>
      <c r="AG24" s="209"/>
      <c r="AH24" s="470">
        <f t="shared" si="8"/>
        <v>14685</v>
      </c>
      <c r="AI24" s="867">
        <f>'t1'!AL24</f>
        <v>0</v>
      </c>
    </row>
    <row r="25" spans="1:35" ht="12" customHeight="1">
      <c r="A25" s="152" t="str">
        <f>'t1'!A25</f>
        <v>POSIZIONE ECONOMICA DI ACCESSO D1</v>
      </c>
      <c r="B25" s="224" t="str">
        <f>'t1'!B25</f>
        <v>057000</v>
      </c>
      <c r="C25" s="210">
        <f t="shared" si="3"/>
        <v>0.92</v>
      </c>
      <c r="D25" s="954">
        <f t="shared" si="4"/>
        <v>1628</v>
      </c>
      <c r="E25" s="954">
        <f t="shared" si="5"/>
        <v>0</v>
      </c>
      <c r="F25" s="954">
        <f t="shared" si="6"/>
        <v>0</v>
      </c>
      <c r="G25" s="954">
        <f t="shared" si="0"/>
        <v>136</v>
      </c>
      <c r="H25" s="954">
        <f t="shared" si="1"/>
        <v>0</v>
      </c>
      <c r="I25" s="955">
        <f t="shared" si="2"/>
        <v>0</v>
      </c>
      <c r="J25" s="470">
        <f t="shared" si="7"/>
        <v>1764</v>
      </c>
      <c r="K25" s="867">
        <f>'t1'!N25</f>
        <v>1</v>
      </c>
      <c r="AA25" s="210">
        <v>0.92</v>
      </c>
      <c r="AB25" s="208">
        <v>1628</v>
      </c>
      <c r="AC25" s="208"/>
      <c r="AD25" s="954"/>
      <c r="AE25" s="208">
        <v>136</v>
      </c>
      <c r="AF25" s="208"/>
      <c r="AG25" s="209"/>
      <c r="AH25" s="470">
        <f t="shared" si="8"/>
        <v>1764</v>
      </c>
      <c r="AI25" s="867">
        <f>'t1'!AL25</f>
        <v>1</v>
      </c>
    </row>
    <row r="26" spans="1:35" ht="12" customHeight="1">
      <c r="A26" s="152" t="str">
        <f>'t1'!A26</f>
        <v>POSIZIONE ECONOMICA C5</v>
      </c>
      <c r="B26" s="224" t="str">
        <f>'t1'!B26</f>
        <v>046000</v>
      </c>
      <c r="C26" s="210">
        <f t="shared" si="3"/>
        <v>0</v>
      </c>
      <c r="D26" s="954">
        <f t="shared" si="4"/>
        <v>0</v>
      </c>
      <c r="E26" s="954">
        <f t="shared" si="5"/>
        <v>0</v>
      </c>
      <c r="F26" s="954">
        <f t="shared" si="6"/>
        <v>0</v>
      </c>
      <c r="G26" s="954">
        <f t="shared" si="0"/>
        <v>0</v>
      </c>
      <c r="H26" s="954">
        <f t="shared" si="1"/>
        <v>0</v>
      </c>
      <c r="I26" s="955">
        <f t="shared" si="2"/>
        <v>0</v>
      </c>
      <c r="J26" s="470">
        <f t="shared" si="7"/>
        <v>0</v>
      </c>
      <c r="K26" s="867">
        <f>'t1'!N26</f>
        <v>0</v>
      </c>
      <c r="AA26" s="210"/>
      <c r="AB26" s="208"/>
      <c r="AC26" s="208"/>
      <c r="AD26" s="954"/>
      <c r="AE26" s="208"/>
      <c r="AF26" s="208"/>
      <c r="AG26" s="209"/>
      <c r="AH26" s="470">
        <f t="shared" si="8"/>
        <v>0</v>
      </c>
      <c r="AI26" s="867">
        <f>'t1'!AL26</f>
        <v>0</v>
      </c>
    </row>
    <row r="27" spans="1:35" ht="12" customHeight="1">
      <c r="A27" s="152" t="str">
        <f>'t1'!A27</f>
        <v>POSIZIONE ECONOMICA C4</v>
      </c>
      <c r="B27" s="224" t="str">
        <f>'t1'!B27</f>
        <v>045000</v>
      </c>
      <c r="C27" s="210">
        <f t="shared" si="3"/>
        <v>0</v>
      </c>
      <c r="D27" s="954">
        <f t="shared" si="4"/>
        <v>0</v>
      </c>
      <c r="E27" s="954">
        <f t="shared" si="5"/>
        <v>0</v>
      </c>
      <c r="F27" s="954">
        <f t="shared" si="6"/>
        <v>0</v>
      </c>
      <c r="G27" s="954">
        <f t="shared" si="0"/>
        <v>0</v>
      </c>
      <c r="H27" s="954">
        <f t="shared" si="1"/>
        <v>0</v>
      </c>
      <c r="I27" s="955">
        <f t="shared" si="2"/>
        <v>0</v>
      </c>
      <c r="J27" s="470">
        <f t="shared" si="7"/>
        <v>0</v>
      </c>
      <c r="K27" s="867">
        <f>'t1'!N27</f>
        <v>0</v>
      </c>
      <c r="AA27" s="210"/>
      <c r="AB27" s="208"/>
      <c r="AC27" s="208"/>
      <c r="AD27" s="954"/>
      <c r="AE27" s="208"/>
      <c r="AF27" s="208"/>
      <c r="AG27" s="209"/>
      <c r="AH27" s="470">
        <f t="shared" si="8"/>
        <v>0</v>
      </c>
      <c r="AI27" s="867">
        <f>'t1'!AL27</f>
        <v>0</v>
      </c>
    </row>
    <row r="28" spans="1:35" ht="12" customHeight="1">
      <c r="A28" s="152" t="str">
        <f>'t1'!A28</f>
        <v>POSIZIONE ECONOMICA C3</v>
      </c>
      <c r="B28" s="224" t="str">
        <f>'t1'!B28</f>
        <v>043000</v>
      </c>
      <c r="C28" s="210">
        <f t="shared" si="3"/>
        <v>0</v>
      </c>
      <c r="D28" s="954">
        <f t="shared" si="4"/>
        <v>0</v>
      </c>
      <c r="E28" s="954">
        <f t="shared" si="5"/>
        <v>0</v>
      </c>
      <c r="F28" s="954">
        <f t="shared" si="6"/>
        <v>0</v>
      </c>
      <c r="G28" s="954">
        <f t="shared" si="0"/>
        <v>0</v>
      </c>
      <c r="H28" s="954">
        <f t="shared" si="1"/>
        <v>0</v>
      </c>
      <c r="I28" s="955">
        <f t="shared" si="2"/>
        <v>0</v>
      </c>
      <c r="J28" s="470">
        <f t="shared" si="7"/>
        <v>0</v>
      </c>
      <c r="K28" s="867">
        <f>'t1'!N28</f>
        <v>0</v>
      </c>
      <c r="AA28" s="210"/>
      <c r="AB28" s="208"/>
      <c r="AC28" s="208"/>
      <c r="AD28" s="954"/>
      <c r="AE28" s="208"/>
      <c r="AF28" s="208"/>
      <c r="AG28" s="209"/>
      <c r="AH28" s="470">
        <f t="shared" si="8"/>
        <v>0</v>
      </c>
      <c r="AI28" s="867">
        <f>'t1'!AL28</f>
        <v>0</v>
      </c>
    </row>
    <row r="29" spans="1:35" ht="12" customHeight="1">
      <c r="A29" s="152" t="str">
        <f>'t1'!A29</f>
        <v>POSIZIONE ECONOMICA C2</v>
      </c>
      <c r="B29" s="224" t="str">
        <f>'t1'!B29</f>
        <v>042000</v>
      </c>
      <c r="C29" s="210">
        <f t="shared" si="3"/>
        <v>12</v>
      </c>
      <c r="D29" s="954">
        <f t="shared" si="4"/>
        <v>19918</v>
      </c>
      <c r="E29" s="954">
        <f t="shared" si="5"/>
        <v>0</v>
      </c>
      <c r="F29" s="954">
        <f t="shared" si="6"/>
        <v>0</v>
      </c>
      <c r="G29" s="954">
        <f t="shared" si="0"/>
        <v>1672</v>
      </c>
      <c r="H29" s="954">
        <f t="shared" si="1"/>
        <v>0</v>
      </c>
      <c r="I29" s="955">
        <f t="shared" si="2"/>
        <v>0</v>
      </c>
      <c r="J29" s="470">
        <f t="shared" si="7"/>
        <v>21590</v>
      </c>
      <c r="K29" s="867">
        <f>'t1'!N29</f>
        <v>1</v>
      </c>
      <c r="AA29" s="210">
        <v>12</v>
      </c>
      <c r="AB29" s="208">
        <v>19918</v>
      </c>
      <c r="AC29" s="208"/>
      <c r="AD29" s="954"/>
      <c r="AE29" s="208">
        <v>1672</v>
      </c>
      <c r="AF29" s="208"/>
      <c r="AG29" s="209"/>
      <c r="AH29" s="470">
        <f t="shared" si="8"/>
        <v>21590</v>
      </c>
      <c r="AI29" s="867">
        <f>'t1'!AL29</f>
        <v>1</v>
      </c>
    </row>
    <row r="30" spans="1:35" ht="12" customHeight="1">
      <c r="A30" s="152" t="str">
        <f>'t1'!A30</f>
        <v>POSIZIONE ECONOMICA DI ACCESSO C1</v>
      </c>
      <c r="B30" s="224" t="str">
        <f>'t1'!B30</f>
        <v>056000</v>
      </c>
      <c r="C30" s="210">
        <f t="shared" si="3"/>
        <v>15.57</v>
      </c>
      <c r="D30" s="954">
        <f t="shared" si="4"/>
        <v>25232</v>
      </c>
      <c r="E30" s="954">
        <f t="shared" si="5"/>
        <v>0</v>
      </c>
      <c r="F30" s="954">
        <f t="shared" si="6"/>
        <v>0</v>
      </c>
      <c r="G30" s="954">
        <f t="shared" si="0"/>
        <v>2069</v>
      </c>
      <c r="H30" s="954">
        <f t="shared" si="1"/>
        <v>0</v>
      </c>
      <c r="I30" s="955">
        <f t="shared" si="2"/>
        <v>0</v>
      </c>
      <c r="J30" s="470">
        <f t="shared" si="7"/>
        <v>27301</v>
      </c>
      <c r="K30" s="867">
        <f>'t1'!N30</f>
        <v>1</v>
      </c>
      <c r="AA30" s="210">
        <v>15.57</v>
      </c>
      <c r="AB30" s="208">
        <v>25232</v>
      </c>
      <c r="AC30" s="208"/>
      <c r="AD30" s="954"/>
      <c r="AE30" s="208">
        <v>2069</v>
      </c>
      <c r="AF30" s="208"/>
      <c r="AG30" s="209"/>
      <c r="AH30" s="470">
        <f t="shared" si="8"/>
        <v>27301</v>
      </c>
      <c r="AI30" s="867">
        <f>'t1'!AL30</f>
        <v>1</v>
      </c>
    </row>
    <row r="31" spans="1:35" ht="12" customHeight="1">
      <c r="A31" s="152" t="str">
        <f>'t1'!A31</f>
        <v>POSIZ. ECON. B7 - PROFILO ACCESSO B3</v>
      </c>
      <c r="B31" s="224" t="str">
        <f>'t1'!B31</f>
        <v>0B7A00</v>
      </c>
      <c r="C31" s="210">
        <f t="shared" si="3"/>
        <v>0</v>
      </c>
      <c r="D31" s="954">
        <f t="shared" si="4"/>
        <v>0</v>
      </c>
      <c r="E31" s="954">
        <f t="shared" si="5"/>
        <v>0</v>
      </c>
      <c r="F31" s="954">
        <f t="shared" si="6"/>
        <v>0</v>
      </c>
      <c r="G31" s="954">
        <f t="shared" si="0"/>
        <v>0</v>
      </c>
      <c r="H31" s="954">
        <f t="shared" si="1"/>
        <v>0</v>
      </c>
      <c r="I31" s="955">
        <f t="shared" si="2"/>
        <v>0</v>
      </c>
      <c r="J31" s="470">
        <f t="shared" si="7"/>
        <v>0</v>
      </c>
      <c r="K31" s="867">
        <f>'t1'!N31</f>
        <v>0</v>
      </c>
      <c r="AA31" s="210"/>
      <c r="AB31" s="208"/>
      <c r="AC31" s="208"/>
      <c r="AD31" s="954"/>
      <c r="AE31" s="208"/>
      <c r="AF31" s="208"/>
      <c r="AG31" s="209"/>
      <c r="AH31" s="470">
        <f t="shared" si="8"/>
        <v>0</v>
      </c>
      <c r="AI31" s="867">
        <f>'t1'!AL31</f>
        <v>0</v>
      </c>
    </row>
    <row r="32" spans="1:35" ht="12" customHeight="1">
      <c r="A32" s="152" t="str">
        <f>'t1'!A32</f>
        <v>POSIZ. ECON. B7 - PROFILO  ACCESSO B1</v>
      </c>
      <c r="B32" s="224" t="str">
        <f>'t1'!B32</f>
        <v>0B7000</v>
      </c>
      <c r="C32" s="210">
        <f t="shared" si="3"/>
        <v>0</v>
      </c>
      <c r="D32" s="954">
        <f t="shared" si="4"/>
        <v>0</v>
      </c>
      <c r="E32" s="954">
        <f t="shared" si="5"/>
        <v>0</v>
      </c>
      <c r="F32" s="954">
        <f t="shared" si="6"/>
        <v>0</v>
      </c>
      <c r="G32" s="954">
        <f t="shared" si="0"/>
        <v>0</v>
      </c>
      <c r="H32" s="954">
        <f t="shared" si="1"/>
        <v>0</v>
      </c>
      <c r="I32" s="955">
        <f t="shared" si="2"/>
        <v>0</v>
      </c>
      <c r="J32" s="470">
        <f t="shared" si="7"/>
        <v>0</v>
      </c>
      <c r="K32" s="867">
        <f>'t1'!N32</f>
        <v>0</v>
      </c>
      <c r="AA32" s="210"/>
      <c r="AB32" s="208"/>
      <c r="AC32" s="208"/>
      <c r="AD32" s="954"/>
      <c r="AE32" s="208"/>
      <c r="AF32" s="208"/>
      <c r="AG32" s="209"/>
      <c r="AH32" s="470">
        <f t="shared" si="8"/>
        <v>0</v>
      </c>
      <c r="AI32" s="867">
        <f>'t1'!AL32</f>
        <v>0</v>
      </c>
    </row>
    <row r="33" spans="1:35" ht="12" customHeight="1">
      <c r="A33" s="152" t="str">
        <f>'t1'!A33</f>
        <v>POSIZ. ECON. B6 PROFILI ACCESSO B3</v>
      </c>
      <c r="B33" s="224" t="str">
        <f>'t1'!B33</f>
        <v>038490</v>
      </c>
      <c r="C33" s="210">
        <f t="shared" si="3"/>
        <v>0</v>
      </c>
      <c r="D33" s="954">
        <f t="shared" si="4"/>
        <v>0</v>
      </c>
      <c r="E33" s="954">
        <f t="shared" si="5"/>
        <v>0</v>
      </c>
      <c r="F33" s="954">
        <f t="shared" si="6"/>
        <v>0</v>
      </c>
      <c r="G33" s="954">
        <f t="shared" si="0"/>
        <v>0</v>
      </c>
      <c r="H33" s="954">
        <f t="shared" si="1"/>
        <v>0</v>
      </c>
      <c r="I33" s="955">
        <f t="shared" si="2"/>
        <v>0</v>
      </c>
      <c r="J33" s="470">
        <f t="shared" si="7"/>
        <v>0</v>
      </c>
      <c r="K33" s="867">
        <f>'t1'!N33</f>
        <v>0</v>
      </c>
      <c r="AA33" s="210"/>
      <c r="AB33" s="208"/>
      <c r="AC33" s="208"/>
      <c r="AD33" s="954"/>
      <c r="AE33" s="208"/>
      <c r="AF33" s="208"/>
      <c r="AG33" s="209"/>
      <c r="AH33" s="470">
        <f t="shared" si="8"/>
        <v>0</v>
      </c>
      <c r="AI33" s="867">
        <f>'t1'!AL33</f>
        <v>0</v>
      </c>
    </row>
    <row r="34" spans="1:35" ht="12" customHeight="1">
      <c r="A34" s="152" t="str">
        <f>'t1'!A34</f>
        <v>POSIZ. ECON. B6 PROFILI ACCESSO B1</v>
      </c>
      <c r="B34" s="224" t="str">
        <f>'t1'!B34</f>
        <v>038491</v>
      </c>
      <c r="C34" s="210">
        <f t="shared" si="3"/>
        <v>0</v>
      </c>
      <c r="D34" s="954">
        <f t="shared" si="4"/>
        <v>0</v>
      </c>
      <c r="E34" s="954">
        <f t="shared" si="5"/>
        <v>0</v>
      </c>
      <c r="F34" s="954">
        <f t="shared" si="6"/>
        <v>0</v>
      </c>
      <c r="G34" s="954">
        <f t="shared" si="0"/>
        <v>0</v>
      </c>
      <c r="H34" s="954">
        <f t="shared" si="1"/>
        <v>0</v>
      </c>
      <c r="I34" s="955">
        <f t="shared" si="2"/>
        <v>0</v>
      </c>
      <c r="J34" s="470">
        <f t="shared" si="7"/>
        <v>0</v>
      </c>
      <c r="K34" s="867">
        <f>'t1'!N34</f>
        <v>0</v>
      </c>
      <c r="AA34" s="210"/>
      <c r="AB34" s="208"/>
      <c r="AC34" s="208"/>
      <c r="AD34" s="954"/>
      <c r="AE34" s="208"/>
      <c r="AF34" s="208"/>
      <c r="AG34" s="209"/>
      <c r="AH34" s="470">
        <f t="shared" si="8"/>
        <v>0</v>
      </c>
      <c r="AI34" s="867">
        <f>'t1'!AL34</f>
        <v>0</v>
      </c>
    </row>
    <row r="35" spans="1:35" ht="12" customHeight="1">
      <c r="A35" s="152" t="str">
        <f>'t1'!A35</f>
        <v>POSIZ. ECON. B5 PROFILI ACCESSO B3</v>
      </c>
      <c r="B35" s="224" t="str">
        <f>'t1'!B35</f>
        <v>037492</v>
      </c>
      <c r="C35" s="210">
        <f t="shared" si="3"/>
        <v>0</v>
      </c>
      <c r="D35" s="954">
        <f t="shared" si="4"/>
        <v>0</v>
      </c>
      <c r="E35" s="954">
        <f t="shared" si="5"/>
        <v>0</v>
      </c>
      <c r="F35" s="954">
        <f t="shared" si="6"/>
        <v>0</v>
      </c>
      <c r="G35" s="954">
        <f t="shared" si="0"/>
        <v>0</v>
      </c>
      <c r="H35" s="954">
        <f t="shared" si="1"/>
        <v>0</v>
      </c>
      <c r="I35" s="955">
        <f t="shared" si="2"/>
        <v>0</v>
      </c>
      <c r="J35" s="470">
        <f t="shared" si="7"/>
        <v>0</v>
      </c>
      <c r="K35" s="867">
        <f>'t1'!N35</f>
        <v>0</v>
      </c>
      <c r="AA35" s="210"/>
      <c r="AB35" s="208"/>
      <c r="AC35" s="208"/>
      <c r="AD35" s="954"/>
      <c r="AE35" s="208"/>
      <c r="AF35" s="208"/>
      <c r="AG35" s="209"/>
      <c r="AH35" s="470">
        <f t="shared" si="8"/>
        <v>0</v>
      </c>
      <c r="AI35" s="867">
        <f>'t1'!AL35</f>
        <v>0</v>
      </c>
    </row>
    <row r="36" spans="1:35" ht="12" customHeight="1">
      <c r="A36" s="152" t="str">
        <f>'t1'!A36</f>
        <v>POSIZ. ECON. B5 PROFILI ACCESSO B1</v>
      </c>
      <c r="B36" s="224" t="str">
        <f>'t1'!B36</f>
        <v>037493</v>
      </c>
      <c r="C36" s="210">
        <f t="shared" si="3"/>
        <v>0</v>
      </c>
      <c r="D36" s="954">
        <f t="shared" si="4"/>
        <v>0</v>
      </c>
      <c r="E36" s="954">
        <f t="shared" si="5"/>
        <v>0</v>
      </c>
      <c r="F36" s="954">
        <f t="shared" si="6"/>
        <v>0</v>
      </c>
      <c r="G36" s="954">
        <f t="shared" si="0"/>
        <v>0</v>
      </c>
      <c r="H36" s="954">
        <f t="shared" si="1"/>
        <v>0</v>
      </c>
      <c r="I36" s="955">
        <f t="shared" si="2"/>
        <v>0</v>
      </c>
      <c r="J36" s="470">
        <f t="shared" si="7"/>
        <v>0</v>
      </c>
      <c r="K36" s="867">
        <f>'t1'!N36</f>
        <v>0</v>
      </c>
      <c r="AA36" s="210"/>
      <c r="AB36" s="208"/>
      <c r="AC36" s="208"/>
      <c r="AD36" s="954"/>
      <c r="AE36" s="208"/>
      <c r="AF36" s="208"/>
      <c r="AG36" s="209"/>
      <c r="AH36" s="470">
        <f t="shared" si="8"/>
        <v>0</v>
      </c>
      <c r="AI36" s="867">
        <f>'t1'!AL36</f>
        <v>0</v>
      </c>
    </row>
    <row r="37" spans="1:35" ht="12" customHeight="1">
      <c r="A37" s="152" t="str">
        <f>'t1'!A37</f>
        <v>POSIZ. ECON. B4 PROFILI ACCESSO B3</v>
      </c>
      <c r="B37" s="224" t="str">
        <f>'t1'!B37</f>
        <v>036494</v>
      </c>
      <c r="C37" s="210">
        <f t="shared" si="3"/>
        <v>0</v>
      </c>
      <c r="D37" s="954">
        <f t="shared" si="4"/>
        <v>0</v>
      </c>
      <c r="E37" s="954">
        <f t="shared" si="5"/>
        <v>0</v>
      </c>
      <c r="F37" s="954">
        <f t="shared" si="6"/>
        <v>0</v>
      </c>
      <c r="G37" s="954">
        <f t="shared" si="0"/>
        <v>0</v>
      </c>
      <c r="H37" s="954">
        <f t="shared" si="1"/>
        <v>0</v>
      </c>
      <c r="I37" s="955">
        <f t="shared" si="2"/>
        <v>0</v>
      </c>
      <c r="J37" s="470">
        <f t="shared" si="7"/>
        <v>0</v>
      </c>
      <c r="K37" s="867">
        <f>'t1'!N37</f>
        <v>0</v>
      </c>
      <c r="AA37" s="210"/>
      <c r="AB37" s="208"/>
      <c r="AC37" s="208"/>
      <c r="AD37" s="954"/>
      <c r="AE37" s="208"/>
      <c r="AF37" s="208"/>
      <c r="AG37" s="209"/>
      <c r="AH37" s="470">
        <f t="shared" si="8"/>
        <v>0</v>
      </c>
      <c r="AI37" s="867">
        <f>'t1'!AL37</f>
        <v>0</v>
      </c>
    </row>
    <row r="38" spans="1:35" ht="12" customHeight="1">
      <c r="A38" s="152" t="str">
        <f>'t1'!A38</f>
        <v>POSIZ. ECON. B4 PROFILI ACCESSO B1</v>
      </c>
      <c r="B38" s="224" t="str">
        <f>'t1'!B38</f>
        <v>036495</v>
      </c>
      <c r="C38" s="210">
        <f t="shared" si="3"/>
        <v>0</v>
      </c>
      <c r="D38" s="954">
        <f t="shared" si="4"/>
        <v>0</v>
      </c>
      <c r="E38" s="954">
        <f t="shared" si="5"/>
        <v>0</v>
      </c>
      <c r="F38" s="954">
        <f t="shared" si="6"/>
        <v>0</v>
      </c>
      <c r="G38" s="954">
        <f t="shared" si="0"/>
        <v>0</v>
      </c>
      <c r="H38" s="954">
        <f t="shared" si="1"/>
        <v>0</v>
      </c>
      <c r="I38" s="955">
        <f t="shared" si="2"/>
        <v>0</v>
      </c>
      <c r="J38" s="470">
        <f t="shared" si="7"/>
        <v>0</v>
      </c>
      <c r="K38" s="867">
        <f>'t1'!N38</f>
        <v>0</v>
      </c>
      <c r="AA38" s="210"/>
      <c r="AB38" s="208"/>
      <c r="AC38" s="208"/>
      <c r="AD38" s="954"/>
      <c r="AE38" s="208"/>
      <c r="AF38" s="208"/>
      <c r="AG38" s="209"/>
      <c r="AH38" s="470">
        <f t="shared" si="8"/>
        <v>0</v>
      </c>
      <c r="AI38" s="867">
        <f>'t1'!AL38</f>
        <v>0</v>
      </c>
    </row>
    <row r="39" spans="1:35" ht="12" customHeight="1">
      <c r="A39" s="152" t="str">
        <f>'t1'!A39</f>
        <v>POSIZIONE ECONOMICA DI ACCESSO B3</v>
      </c>
      <c r="B39" s="224" t="str">
        <f>'t1'!B39</f>
        <v>055000</v>
      </c>
      <c r="C39" s="210">
        <f t="shared" si="3"/>
        <v>0</v>
      </c>
      <c r="D39" s="954">
        <f t="shared" si="4"/>
        <v>0</v>
      </c>
      <c r="E39" s="954">
        <f t="shared" si="5"/>
        <v>0</v>
      </c>
      <c r="F39" s="954">
        <f t="shared" si="6"/>
        <v>0</v>
      </c>
      <c r="G39" s="954">
        <f t="shared" si="0"/>
        <v>0</v>
      </c>
      <c r="H39" s="954">
        <f t="shared" si="1"/>
        <v>0</v>
      </c>
      <c r="I39" s="955">
        <f t="shared" si="2"/>
        <v>0</v>
      </c>
      <c r="J39" s="470">
        <f t="shared" si="7"/>
        <v>0</v>
      </c>
      <c r="K39" s="867">
        <f>'t1'!N39</f>
        <v>0</v>
      </c>
      <c r="AA39" s="210"/>
      <c r="AB39" s="208"/>
      <c r="AC39" s="208"/>
      <c r="AD39" s="954"/>
      <c r="AE39" s="208"/>
      <c r="AF39" s="208"/>
      <c r="AG39" s="209"/>
      <c r="AH39" s="470">
        <f t="shared" si="8"/>
        <v>0</v>
      </c>
      <c r="AI39" s="867">
        <f>'t1'!AL39</f>
        <v>0</v>
      </c>
    </row>
    <row r="40" spans="1:35" ht="12" customHeight="1">
      <c r="A40" s="152" t="str">
        <f>'t1'!A40</f>
        <v>POSIZIONE ECONOMICA B3</v>
      </c>
      <c r="B40" s="224" t="str">
        <f>'t1'!B40</f>
        <v>034000</v>
      </c>
      <c r="C40" s="210">
        <f t="shared" si="3"/>
        <v>0</v>
      </c>
      <c r="D40" s="954">
        <f t="shared" si="4"/>
        <v>0</v>
      </c>
      <c r="E40" s="954">
        <f t="shared" si="5"/>
        <v>0</v>
      </c>
      <c r="F40" s="954">
        <f t="shared" si="6"/>
        <v>0</v>
      </c>
      <c r="G40" s="954">
        <f t="shared" si="0"/>
        <v>0</v>
      </c>
      <c r="H40" s="954">
        <f t="shared" si="1"/>
        <v>0</v>
      </c>
      <c r="I40" s="955">
        <f t="shared" si="2"/>
        <v>0</v>
      </c>
      <c r="J40" s="470">
        <f t="shared" si="7"/>
        <v>0</v>
      </c>
      <c r="K40" s="867">
        <f>'t1'!N40</f>
        <v>0</v>
      </c>
      <c r="AA40" s="210"/>
      <c r="AB40" s="208"/>
      <c r="AC40" s="208"/>
      <c r="AD40" s="954"/>
      <c r="AE40" s="208"/>
      <c r="AF40" s="208"/>
      <c r="AG40" s="209"/>
      <c r="AH40" s="470">
        <f t="shared" si="8"/>
        <v>0</v>
      </c>
      <c r="AI40" s="867">
        <f>'t1'!AL40</f>
        <v>0</v>
      </c>
    </row>
    <row r="41" spans="1:35" ht="12" customHeight="1">
      <c r="A41" s="152" t="str">
        <f>'t1'!A41</f>
        <v>POSIZIONE ECONOMICA B2</v>
      </c>
      <c r="B41" s="224" t="str">
        <f>'t1'!B41</f>
        <v>032000</v>
      </c>
      <c r="C41" s="210">
        <f t="shared" si="3"/>
        <v>0</v>
      </c>
      <c r="D41" s="954">
        <f t="shared" si="4"/>
        <v>0</v>
      </c>
      <c r="E41" s="954">
        <f t="shared" si="5"/>
        <v>0</v>
      </c>
      <c r="F41" s="954">
        <f t="shared" si="6"/>
        <v>0</v>
      </c>
      <c r="G41" s="954">
        <f t="shared" si="0"/>
        <v>0</v>
      </c>
      <c r="H41" s="954">
        <f t="shared" si="1"/>
        <v>0</v>
      </c>
      <c r="I41" s="955">
        <f t="shared" si="2"/>
        <v>0</v>
      </c>
      <c r="J41" s="470">
        <f t="shared" si="7"/>
        <v>0</v>
      </c>
      <c r="K41" s="867">
        <f>'t1'!N41</f>
        <v>0</v>
      </c>
      <c r="AA41" s="210"/>
      <c r="AB41" s="208"/>
      <c r="AC41" s="208"/>
      <c r="AD41" s="954"/>
      <c r="AE41" s="208"/>
      <c r="AF41" s="208"/>
      <c r="AG41" s="209"/>
      <c r="AH41" s="470">
        <f t="shared" si="8"/>
        <v>0</v>
      </c>
      <c r="AI41" s="867">
        <f>'t1'!AL41</f>
        <v>0</v>
      </c>
    </row>
    <row r="42" spans="1:35" ht="12" customHeight="1">
      <c r="A42" s="152" t="str">
        <f>'t1'!A42</f>
        <v>POSIZIONE ECONOMICA DI ACCESSO B1</v>
      </c>
      <c r="B42" s="224" t="str">
        <f>'t1'!B42</f>
        <v>054000</v>
      </c>
      <c r="C42" s="210">
        <f t="shared" si="3"/>
        <v>0</v>
      </c>
      <c r="D42" s="954">
        <f t="shared" si="4"/>
        <v>0</v>
      </c>
      <c r="E42" s="954">
        <f t="shared" si="5"/>
        <v>0</v>
      </c>
      <c r="F42" s="954">
        <f t="shared" si="6"/>
        <v>0</v>
      </c>
      <c r="G42" s="954">
        <f t="shared" si="0"/>
        <v>0</v>
      </c>
      <c r="H42" s="954">
        <f t="shared" si="1"/>
        <v>0</v>
      </c>
      <c r="I42" s="955">
        <f t="shared" si="2"/>
        <v>0</v>
      </c>
      <c r="J42" s="470">
        <f t="shared" si="7"/>
        <v>0</v>
      </c>
      <c r="K42" s="867">
        <f>'t1'!N42</f>
        <v>0</v>
      </c>
      <c r="AA42" s="210"/>
      <c r="AB42" s="208"/>
      <c r="AC42" s="208"/>
      <c r="AD42" s="954"/>
      <c r="AE42" s="208"/>
      <c r="AF42" s="208"/>
      <c r="AG42" s="209"/>
      <c r="AH42" s="470">
        <f t="shared" si="8"/>
        <v>0</v>
      </c>
      <c r="AI42" s="867">
        <f>'t1'!AL42</f>
        <v>0</v>
      </c>
    </row>
    <row r="43" spans="1:35" ht="12" customHeight="1">
      <c r="A43" s="152" t="str">
        <f>'t1'!A43</f>
        <v>POSIZIONE ECONOMICA A5</v>
      </c>
      <c r="B43" s="224" t="str">
        <f>'t1'!B43</f>
        <v>0A5000</v>
      </c>
      <c r="C43" s="210">
        <f t="shared" si="3"/>
        <v>0</v>
      </c>
      <c r="D43" s="954">
        <f t="shared" si="4"/>
        <v>0</v>
      </c>
      <c r="E43" s="954">
        <f t="shared" si="5"/>
        <v>0</v>
      </c>
      <c r="F43" s="954">
        <f t="shared" si="6"/>
        <v>0</v>
      </c>
      <c r="G43" s="954">
        <f t="shared" si="0"/>
        <v>0</v>
      </c>
      <c r="H43" s="954">
        <f t="shared" si="1"/>
        <v>0</v>
      </c>
      <c r="I43" s="955">
        <f t="shared" si="2"/>
        <v>0</v>
      </c>
      <c r="J43" s="470">
        <f t="shared" si="7"/>
        <v>0</v>
      </c>
      <c r="K43" s="867">
        <f>'t1'!N43</f>
        <v>0</v>
      </c>
      <c r="AA43" s="210"/>
      <c r="AB43" s="208"/>
      <c r="AC43" s="208"/>
      <c r="AD43" s="954"/>
      <c r="AE43" s="208"/>
      <c r="AF43" s="208"/>
      <c r="AG43" s="209"/>
      <c r="AH43" s="470">
        <f t="shared" si="8"/>
        <v>0</v>
      </c>
      <c r="AI43" s="867">
        <f>'t1'!AL43</f>
        <v>0</v>
      </c>
    </row>
    <row r="44" spans="1:35" ht="12" customHeight="1">
      <c r="A44" s="152" t="str">
        <f>'t1'!A44</f>
        <v>POSIZIONE ECONOMICA A4</v>
      </c>
      <c r="B44" s="224" t="str">
        <f>'t1'!B44</f>
        <v>028000</v>
      </c>
      <c r="C44" s="210">
        <f t="shared" si="3"/>
        <v>0</v>
      </c>
      <c r="D44" s="954">
        <f t="shared" si="4"/>
        <v>0</v>
      </c>
      <c r="E44" s="954">
        <f t="shared" si="5"/>
        <v>0</v>
      </c>
      <c r="F44" s="954">
        <f t="shared" si="6"/>
        <v>0</v>
      </c>
      <c r="G44" s="954">
        <f t="shared" si="0"/>
        <v>0</v>
      </c>
      <c r="H44" s="954">
        <f t="shared" si="1"/>
        <v>0</v>
      </c>
      <c r="I44" s="955">
        <f t="shared" si="2"/>
        <v>0</v>
      </c>
      <c r="J44" s="470">
        <f t="shared" si="7"/>
        <v>0</v>
      </c>
      <c r="K44" s="867">
        <f>'t1'!N44</f>
        <v>0</v>
      </c>
      <c r="AA44" s="210"/>
      <c r="AB44" s="208"/>
      <c r="AC44" s="208"/>
      <c r="AD44" s="954"/>
      <c r="AE44" s="208"/>
      <c r="AF44" s="208"/>
      <c r="AG44" s="209"/>
      <c r="AH44" s="470">
        <f t="shared" si="8"/>
        <v>0</v>
      </c>
      <c r="AI44" s="867">
        <f>'t1'!AL44</f>
        <v>0</v>
      </c>
    </row>
    <row r="45" spans="1:35" ht="12" customHeight="1">
      <c r="A45" s="152" t="str">
        <f>'t1'!A45</f>
        <v>POSIZIONE ECONOMICA A3</v>
      </c>
      <c r="B45" s="224" t="str">
        <f>'t1'!B45</f>
        <v>027000</v>
      </c>
      <c r="C45" s="210">
        <f t="shared" si="3"/>
        <v>0</v>
      </c>
      <c r="D45" s="954">
        <f t="shared" si="4"/>
        <v>0</v>
      </c>
      <c r="E45" s="954">
        <f t="shared" si="5"/>
        <v>0</v>
      </c>
      <c r="F45" s="954">
        <f t="shared" si="6"/>
        <v>0</v>
      </c>
      <c r="G45" s="954">
        <f t="shared" si="0"/>
        <v>0</v>
      </c>
      <c r="H45" s="954">
        <f t="shared" si="1"/>
        <v>0</v>
      </c>
      <c r="I45" s="955">
        <f t="shared" si="2"/>
        <v>0</v>
      </c>
      <c r="J45" s="470">
        <f t="shared" si="7"/>
        <v>0</v>
      </c>
      <c r="K45" s="867">
        <f>'t1'!N45</f>
        <v>0</v>
      </c>
      <c r="AA45" s="210"/>
      <c r="AB45" s="208"/>
      <c r="AC45" s="208"/>
      <c r="AD45" s="954"/>
      <c r="AE45" s="208"/>
      <c r="AF45" s="208"/>
      <c r="AG45" s="209"/>
      <c r="AH45" s="470">
        <f t="shared" si="8"/>
        <v>0</v>
      </c>
      <c r="AI45" s="867">
        <f>'t1'!AL45</f>
        <v>0</v>
      </c>
    </row>
    <row r="46" spans="1:35" ht="12" customHeight="1">
      <c r="A46" s="152" t="str">
        <f>'t1'!A46</f>
        <v>POSIZIONE ECONOMICA A2</v>
      </c>
      <c r="B46" s="224" t="str">
        <f>'t1'!B46</f>
        <v>025000</v>
      </c>
      <c r="C46" s="210">
        <f t="shared" si="3"/>
        <v>0</v>
      </c>
      <c r="D46" s="954">
        <f t="shared" si="4"/>
        <v>0</v>
      </c>
      <c r="E46" s="954">
        <f t="shared" si="5"/>
        <v>0</v>
      </c>
      <c r="F46" s="954">
        <f t="shared" si="6"/>
        <v>0</v>
      </c>
      <c r="G46" s="954">
        <f t="shared" si="0"/>
        <v>0</v>
      </c>
      <c r="H46" s="954">
        <f t="shared" si="1"/>
        <v>0</v>
      </c>
      <c r="I46" s="955">
        <f t="shared" si="2"/>
        <v>0</v>
      </c>
      <c r="J46" s="470">
        <f t="shared" si="7"/>
        <v>0</v>
      </c>
      <c r="K46" s="867">
        <f>'t1'!N46</f>
        <v>0</v>
      </c>
      <c r="AA46" s="210"/>
      <c r="AB46" s="208"/>
      <c r="AC46" s="208"/>
      <c r="AD46" s="954"/>
      <c r="AE46" s="208"/>
      <c r="AF46" s="208"/>
      <c r="AG46" s="209"/>
      <c r="AH46" s="470">
        <f t="shared" si="8"/>
        <v>0</v>
      </c>
      <c r="AI46" s="867">
        <f>'t1'!AL46</f>
        <v>0</v>
      </c>
    </row>
    <row r="47" spans="1:35" ht="12" customHeight="1">
      <c r="A47" s="152" t="str">
        <f>'t1'!A47</f>
        <v>POSIZIONE ECONOMICA DI ACCESSO A1</v>
      </c>
      <c r="B47" s="224" t="str">
        <f>'t1'!B47</f>
        <v>053000</v>
      </c>
      <c r="C47" s="210">
        <f t="shared" si="3"/>
        <v>0</v>
      </c>
      <c r="D47" s="954">
        <f t="shared" si="4"/>
        <v>0</v>
      </c>
      <c r="E47" s="954">
        <f t="shared" si="5"/>
        <v>0</v>
      </c>
      <c r="F47" s="954">
        <f t="shared" si="6"/>
        <v>0</v>
      </c>
      <c r="G47" s="954">
        <f t="shared" si="0"/>
        <v>0</v>
      </c>
      <c r="H47" s="954">
        <f t="shared" si="1"/>
        <v>0</v>
      </c>
      <c r="I47" s="955">
        <f t="shared" si="2"/>
        <v>0</v>
      </c>
      <c r="J47" s="470">
        <f t="shared" si="7"/>
        <v>0</v>
      </c>
      <c r="K47" s="867">
        <f>'t1'!N47</f>
        <v>0</v>
      </c>
      <c r="AA47" s="210"/>
      <c r="AB47" s="208"/>
      <c r="AC47" s="208"/>
      <c r="AD47" s="954"/>
      <c r="AE47" s="208"/>
      <c r="AF47" s="208"/>
      <c r="AG47" s="209"/>
      <c r="AH47" s="470">
        <f t="shared" si="8"/>
        <v>0</v>
      </c>
      <c r="AI47" s="867">
        <f>'t1'!AL47</f>
        <v>0</v>
      </c>
    </row>
    <row r="48" spans="1:35" ht="12" customHeight="1">
      <c r="A48" s="152" t="str">
        <f>'t1'!A48</f>
        <v>CONTRATTISTI (a)</v>
      </c>
      <c r="B48" s="224" t="str">
        <f>'t1'!B48</f>
        <v>000061</v>
      </c>
      <c r="C48" s="210">
        <f t="shared" si="3"/>
        <v>0</v>
      </c>
      <c r="D48" s="954">
        <f t="shared" si="4"/>
        <v>0</v>
      </c>
      <c r="E48" s="954">
        <f t="shared" si="5"/>
        <v>0</v>
      </c>
      <c r="F48" s="954">
        <f t="shared" si="6"/>
        <v>0</v>
      </c>
      <c r="G48" s="954">
        <f t="shared" si="0"/>
        <v>0</v>
      </c>
      <c r="H48" s="954">
        <f t="shared" si="1"/>
        <v>0</v>
      </c>
      <c r="I48" s="955">
        <f t="shared" si="2"/>
        <v>0</v>
      </c>
      <c r="J48" s="470">
        <f t="shared" si="7"/>
        <v>0</v>
      </c>
      <c r="K48" s="867">
        <f>'t1'!N48</f>
        <v>0</v>
      </c>
      <c r="AA48" s="210"/>
      <c r="AB48" s="208"/>
      <c r="AC48" s="208"/>
      <c r="AD48" s="954"/>
      <c r="AE48" s="208"/>
      <c r="AF48" s="208"/>
      <c r="AG48" s="209"/>
      <c r="AH48" s="470">
        <f t="shared" si="8"/>
        <v>0</v>
      </c>
      <c r="AI48" s="867">
        <f>'t1'!AL48</f>
        <v>0</v>
      </c>
    </row>
    <row r="49" spans="1:35" ht="12" customHeight="1" thickBot="1">
      <c r="A49" s="152" t="str">
        <f>'t1'!A49</f>
        <v>COLLABORATORE A T.D. ART. 90 TUEL (b)</v>
      </c>
      <c r="B49" s="224" t="str">
        <f>'t1'!B49</f>
        <v>000096</v>
      </c>
      <c r="C49" s="210">
        <f t="shared" si="3"/>
        <v>0</v>
      </c>
      <c r="D49" s="954">
        <f t="shared" si="4"/>
        <v>0</v>
      </c>
      <c r="E49" s="954">
        <f t="shared" si="5"/>
        <v>0</v>
      </c>
      <c r="F49" s="954">
        <f t="shared" si="6"/>
        <v>0</v>
      </c>
      <c r="G49" s="954">
        <f t="shared" si="0"/>
        <v>0</v>
      </c>
      <c r="H49" s="954">
        <f t="shared" si="1"/>
        <v>0</v>
      </c>
      <c r="I49" s="955">
        <f t="shared" si="2"/>
        <v>0</v>
      </c>
      <c r="J49" s="470">
        <f t="shared" si="7"/>
        <v>0</v>
      </c>
      <c r="K49" s="867">
        <f>'t1'!N49</f>
        <v>0</v>
      </c>
      <c r="AA49" s="210"/>
      <c r="AB49" s="208"/>
      <c r="AC49" s="208"/>
      <c r="AD49" s="954"/>
      <c r="AE49" s="208"/>
      <c r="AF49" s="208"/>
      <c r="AG49" s="209"/>
      <c r="AH49" s="470">
        <f t="shared" si="8"/>
        <v>0</v>
      </c>
      <c r="AI49" s="867">
        <f>'t1'!AL49</f>
        <v>0</v>
      </c>
    </row>
    <row r="50" spans="1:35" ht="12" customHeight="1" thickTop="1" thickBot="1">
      <c r="A50" s="123" t="s">
        <v>107</v>
      </c>
      <c r="B50" s="124"/>
      <c r="C50" s="1014">
        <f t="shared" ref="C50:J50" si="9">SUM(C6:C49)</f>
        <v>35.729999999999997</v>
      </c>
      <c r="D50" s="468">
        <f t="shared" si="9"/>
        <v>60181</v>
      </c>
      <c r="E50" s="468">
        <f t="shared" si="9"/>
        <v>0</v>
      </c>
      <c r="F50" s="468">
        <f t="shared" si="9"/>
        <v>0</v>
      </c>
      <c r="G50" s="468">
        <f t="shared" si="9"/>
        <v>5159</v>
      </c>
      <c r="H50" s="468">
        <f t="shared" si="9"/>
        <v>0</v>
      </c>
      <c r="I50" s="468">
        <f t="shared" si="9"/>
        <v>0</v>
      </c>
      <c r="J50" s="469">
        <f t="shared" si="9"/>
        <v>65340</v>
      </c>
      <c r="AA50" s="515">
        <f t="shared" ref="AA50:AG50" si="10">SUM(AA6:AA49)</f>
        <v>35.729999999999997</v>
      </c>
      <c r="AB50" s="468">
        <f t="shared" si="10"/>
        <v>60181</v>
      </c>
      <c r="AC50" s="468">
        <f t="shared" si="10"/>
        <v>0</v>
      </c>
      <c r="AD50" s="468">
        <f t="shared" si="10"/>
        <v>0</v>
      </c>
      <c r="AE50" s="468">
        <f t="shared" si="10"/>
        <v>5159</v>
      </c>
      <c r="AF50" s="468">
        <f t="shared" si="10"/>
        <v>0</v>
      </c>
      <c r="AG50" s="468">
        <f t="shared" si="10"/>
        <v>0</v>
      </c>
      <c r="AH50" s="469">
        <f>(AB50+AC50+AD50+AE50+AF50)-AG50</f>
        <v>65340</v>
      </c>
    </row>
    <row r="51" spans="1:35" s="45" customFormat="1">
      <c r="A51" s="25" t="str">
        <f>'t1'!$A$201</f>
        <v>(a) personale a tempo indeterminato al quale viene applicato un contratto di lavoro di tipo privatistico (es.:tipografico,chimico,edile,metalmeccanico,portierato, ecc.)</v>
      </c>
      <c r="B51" s="7"/>
      <c r="C51" s="5"/>
      <c r="D51" s="5"/>
      <c r="E51" s="5"/>
      <c r="F51" s="5"/>
      <c r="G51" s="5"/>
      <c r="H51" s="5"/>
      <c r="I51" s="5"/>
      <c r="J51" s="5"/>
      <c r="AA51" s="5"/>
      <c r="AB51" s="5"/>
      <c r="AC51" s="5"/>
      <c r="AD51" s="5"/>
      <c r="AE51" s="5"/>
      <c r="AF51" s="5"/>
      <c r="AG51" s="5"/>
      <c r="AH51" s="5"/>
    </row>
    <row r="52" spans="1:35">
      <c r="A52" s="25" t="str">
        <f>'t1'!$A$202</f>
        <v>(b) cfr." istruzioni generali e specifiche di comparto" e "glossario"</v>
      </c>
    </row>
    <row r="53" spans="1:35">
      <c r="A53" s="5" t="s">
        <v>218</v>
      </c>
    </row>
    <row r="54" spans="1:35">
      <c r="A54" s="5" t="s">
        <v>219</v>
      </c>
    </row>
  </sheetData>
  <sheetProtection password="EA98" sheet="1" formatColumns="0" selectLockedCells="1"/>
  <mergeCells count="2">
    <mergeCell ref="H2:J2"/>
    <mergeCell ref="AF2:AH2"/>
  </mergeCells>
  <phoneticPr fontId="30" type="noConversion"/>
  <conditionalFormatting sqref="AE6:AH49 A6:J49">
    <cfRule type="expression" dxfId="5" priority="3" stopIfTrue="1">
      <formula>$K6&gt;0</formula>
    </cfRule>
  </conditionalFormatting>
  <conditionalFormatting sqref="AA6:AC49">
    <cfRule type="expression" dxfId="4" priority="2" stopIfTrue="1">
      <formula>$K6&gt;0</formula>
    </cfRule>
  </conditionalFormatting>
  <conditionalFormatting sqref="AD6:AD49">
    <cfRule type="expression" dxfId="3" priority="1" stopIfTrue="1">
      <formula>$K6&gt;0</formula>
    </cfRule>
  </conditionalFormatting>
  <dataValidations count="2">
    <dataValidation type="whole" allowBlank="1" showInputMessage="1" showErrorMessage="1" errorTitle="ERRORE NEL DATO IMMESSO" error="INSERIRE SOLO NUMERI INTERI" sqref="AB6:AC49 AE6:AG49">
      <formula1>1</formula1>
      <formula2>999999999999</formula2>
    </dataValidation>
    <dataValidation type="decimal" allowBlank="1" showInputMessage="1" showErrorMessage="1" sqref="AA6:AA49">
      <formula1>0</formula1>
      <formula2>99999999</formula2>
    </dataValidation>
  </dataValidations>
  <printOptions horizontalCentered="1" verticalCentered="1"/>
  <pageMargins left="0" right="0" top="0.19685039370078741" bottom="0.15748031496062992" header="0.19685039370078741" footer="0.15748031496062992"/>
  <pageSetup paperSize="9" scale="80" orientation="landscape" horizontalDpi="300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5" enableFormatConditionsCalculation="0">
    <tabColor indexed="11"/>
  </sheetPr>
  <dimension ref="A1:I37"/>
  <sheetViews>
    <sheetView zoomScale="75" workbookViewId="0">
      <selection activeCell="G7" sqref="G7"/>
    </sheetView>
  </sheetViews>
  <sheetFormatPr defaultColWidth="12.85546875" defaultRowHeight="13.2"/>
  <cols>
    <col min="1" max="1" width="6.85546875" style="541" customWidth="1"/>
    <col min="2" max="2" width="25.85546875" style="542" customWidth="1"/>
    <col min="3" max="3" width="5.42578125" style="542" customWidth="1"/>
    <col min="4" max="4" width="56.140625" style="542" customWidth="1"/>
    <col min="5" max="5" width="22.42578125" style="542" customWidth="1"/>
    <col min="6" max="6" width="23.140625" style="542" customWidth="1"/>
    <col min="7" max="7" width="21.42578125" style="542" customWidth="1"/>
    <col min="8" max="8" width="25.42578125" style="615" customWidth="1"/>
    <col min="9" max="9" width="0" style="615" hidden="1" customWidth="1"/>
    <col min="10" max="16384" width="12.85546875" style="615"/>
  </cols>
  <sheetData>
    <row r="1" spans="1:9" ht="54.75" customHeight="1">
      <c r="H1" s="567" t="s">
        <v>422</v>
      </c>
      <c r="I1" s="371"/>
    </row>
    <row r="2" spans="1:9" ht="54.75" customHeight="1">
      <c r="B2" s="1349" t="str">
        <f xml:space="preserve"> IF(SI_1!G56&gt;0,"LA COMPILAZIONE DI QUESTA APPENDICE E' OBBLIGATORIA","")</f>
        <v/>
      </c>
      <c r="C2" s="1349"/>
      <c r="D2" s="1349"/>
      <c r="E2" s="1349"/>
      <c r="F2" s="1349"/>
      <c r="G2" s="1349"/>
      <c r="H2" s="567"/>
      <c r="I2" s="371"/>
    </row>
    <row r="3" spans="1:9" ht="26.25" customHeight="1" thickBot="1">
      <c r="A3" s="563"/>
      <c r="B3" s="559"/>
      <c r="C3" s="559"/>
      <c r="D3" s="560" t="str">
        <f>'t1'!A1</f>
        <v>COMPARTO REGIONI ED AUTONOMIE LOCALI - anno 2017</v>
      </c>
      <c r="E3" s="559"/>
      <c r="F3" s="559"/>
      <c r="G3" s="559"/>
      <c r="H3" s="568"/>
      <c r="I3" s="371"/>
    </row>
    <row r="4" spans="1:9" ht="12">
      <c r="B4" s="543"/>
      <c r="C4" s="543"/>
      <c r="D4" s="543"/>
      <c r="E4" s="543"/>
      <c r="F4" s="543"/>
      <c r="G4" s="543"/>
      <c r="H4" s="569"/>
      <c r="I4" s="371"/>
    </row>
    <row r="5" spans="1:9" ht="15">
      <c r="A5" s="544"/>
      <c r="B5" s="545"/>
      <c r="C5" s="546"/>
      <c r="D5" s="545"/>
      <c r="E5" s="545"/>
      <c r="G5" s="570" t="s">
        <v>100</v>
      </c>
      <c r="H5" s="569"/>
      <c r="I5" s="371"/>
    </row>
    <row r="6" spans="1:9" ht="17.25" customHeight="1">
      <c r="A6" s="544" t="s">
        <v>348</v>
      </c>
      <c r="B6" s="547" t="s">
        <v>445</v>
      </c>
      <c r="C6" s="548"/>
      <c r="G6" s="555"/>
      <c r="H6" s="569"/>
      <c r="I6" s="371"/>
    </row>
    <row r="7" spans="1:9" ht="20.25" customHeight="1">
      <c r="A7" s="544"/>
      <c r="C7" s="548"/>
      <c r="D7" s="545" t="s">
        <v>91</v>
      </c>
      <c r="G7" s="575"/>
      <c r="H7" s="1350" t="str">
        <f xml:space="preserve"> IF(SUM(G7:G9) &lt;&gt; SI_1!G56,"LA SOMMA DEI VALORI DEVE ESSERE UGUALE A "&amp; SI_1!G56,"")</f>
        <v/>
      </c>
      <c r="I7" s="371"/>
    </row>
    <row r="8" spans="1:9" ht="20.25" customHeight="1">
      <c r="A8" s="544"/>
      <c r="C8" s="548"/>
      <c r="D8" s="545" t="s">
        <v>19</v>
      </c>
      <c r="G8" s="575"/>
      <c r="H8" s="1350"/>
      <c r="I8" s="371"/>
    </row>
    <row r="9" spans="1:9" ht="20.25" customHeight="1">
      <c r="A9" s="544"/>
      <c r="C9" s="548"/>
      <c r="D9" s="545" t="s">
        <v>18</v>
      </c>
      <c r="G9" s="575"/>
      <c r="H9" s="1350"/>
      <c r="I9" s="583"/>
    </row>
    <row r="10" spans="1:9" ht="17.25" customHeight="1">
      <c r="A10" s="544"/>
      <c r="B10" s="545"/>
      <c r="C10" s="546"/>
      <c r="D10" s="545"/>
      <c r="E10" s="545"/>
      <c r="G10" s="552"/>
      <c r="H10" s="569"/>
      <c r="I10" s="371"/>
    </row>
    <row r="11" spans="1:9" ht="20.25" customHeight="1">
      <c r="A11" s="544" t="s">
        <v>349</v>
      </c>
      <c r="B11" s="571" t="s">
        <v>455</v>
      </c>
      <c r="C11" s="546"/>
      <c r="D11" s="545"/>
      <c r="E11" s="545"/>
      <c r="G11" s="575"/>
      <c r="H11" s="1352" t="str">
        <f xml:space="preserve"> IF(SI_1!G56=0,"",IF(AND(G11 &lt;= SI_1!G56,G11 &gt;= 0),"","IL VALORE INSERITO DEVE ESSERE &lt;= " &amp; SI_1!G56))</f>
        <v/>
      </c>
      <c r="I11" s="371"/>
    </row>
    <row r="12" spans="1:9" ht="17.25" customHeight="1">
      <c r="A12" s="544"/>
      <c r="B12" s="545"/>
      <c r="C12" s="546"/>
      <c r="D12" s="545"/>
      <c r="E12" s="545"/>
      <c r="G12" s="552"/>
      <c r="H12" s="1353"/>
      <c r="I12" s="371"/>
    </row>
    <row r="13" spans="1:9" ht="15" customHeight="1">
      <c r="A13" s="544" t="s">
        <v>355</v>
      </c>
      <c r="B13" s="549" t="s">
        <v>92</v>
      </c>
      <c r="C13" s="546"/>
      <c r="D13" s="545"/>
      <c r="E13" s="545"/>
      <c r="G13" s="552"/>
      <c r="H13" s="569"/>
      <c r="I13" s="371"/>
    </row>
    <row r="14" spans="1:9" ht="20.25" customHeight="1">
      <c r="A14" s="550"/>
      <c r="C14" s="546"/>
      <c r="D14" s="545" t="s">
        <v>93</v>
      </c>
      <c r="E14" s="545"/>
      <c r="G14" s="575"/>
      <c r="H14" s="1351" t="str">
        <f xml:space="preserve"> IF(SUM(G14:G17) &lt;&gt; SI_1!G56,"LA SOMMA DEI VALORI DEVE ESSERE UGUALE A "&amp; SI_1!G56,"")</f>
        <v/>
      </c>
      <c r="I14" s="371"/>
    </row>
    <row r="15" spans="1:9" ht="20.25" customHeight="1">
      <c r="A15" s="550"/>
      <c r="C15" s="551"/>
      <c r="D15" s="552" t="s">
        <v>94</v>
      </c>
      <c r="E15" s="552"/>
      <c r="G15" s="575"/>
      <c r="H15" s="1351"/>
      <c r="I15" s="371"/>
    </row>
    <row r="16" spans="1:9" ht="20.25" customHeight="1">
      <c r="A16" s="553"/>
      <c r="C16" s="554"/>
      <c r="D16" s="554" t="s">
        <v>95</v>
      </c>
      <c r="E16" s="554"/>
      <c r="G16" s="576"/>
      <c r="H16" s="1351"/>
      <c r="I16" s="371"/>
    </row>
    <row r="17" spans="1:9" ht="20.25" customHeight="1">
      <c r="A17" s="553"/>
      <c r="C17" s="554"/>
      <c r="D17" s="554" t="s">
        <v>96</v>
      </c>
      <c r="E17" s="554"/>
      <c r="G17" s="576"/>
      <c r="H17" s="1351"/>
      <c r="I17" s="371"/>
    </row>
    <row r="18" spans="1:9" ht="15" customHeight="1">
      <c r="A18" s="550"/>
      <c r="B18" s="545"/>
      <c r="C18" s="545"/>
      <c r="D18" s="545"/>
      <c r="E18" s="545"/>
      <c r="G18" s="545"/>
      <c r="H18" s="572"/>
      <c r="I18" s="371"/>
    </row>
    <row r="19" spans="1:9" ht="20.25" customHeight="1">
      <c r="A19" s="655" t="s">
        <v>356</v>
      </c>
      <c r="B19" s="1354" t="s">
        <v>456</v>
      </c>
      <c r="C19" s="1355"/>
      <c r="D19" s="1355"/>
      <c r="E19" s="1355"/>
      <c r="F19" s="1355"/>
      <c r="G19" s="575"/>
      <c r="H19" s="1352" t="str">
        <f xml:space="preserve"> IF(SI_1!G56=0,"",IF(AND(G19 &lt;= SI_1!G56,G19 &gt; 0),"","IL VALORE INSERITO DEVE ESSERE &lt;= " &amp; SI_1!G56 &amp; " E MAGGIORE DI 0"))</f>
        <v/>
      </c>
      <c r="I19" s="371"/>
    </row>
    <row r="20" spans="1:9" ht="33.75" customHeight="1">
      <c r="A20" s="550"/>
      <c r="B20" s="1355"/>
      <c r="C20" s="1355"/>
      <c r="D20" s="1355"/>
      <c r="E20" s="1355"/>
      <c r="F20" s="1355"/>
      <c r="G20" s="545"/>
      <c r="H20" s="1353"/>
      <c r="I20" s="371"/>
    </row>
    <row r="21" spans="1:9" ht="15" customHeight="1">
      <c r="A21" s="550"/>
      <c r="B21" s="549" t="s">
        <v>457</v>
      </c>
      <c r="C21" s="545"/>
      <c r="D21" s="545"/>
      <c r="E21" s="545"/>
      <c r="G21" s="545"/>
      <c r="H21" s="572"/>
      <c r="I21" s="371"/>
    </row>
    <row r="22" spans="1:9" ht="20.25" customHeight="1">
      <c r="A22" s="550"/>
      <c r="B22" s="545"/>
      <c r="C22" s="545"/>
      <c r="D22" s="545" t="s">
        <v>97</v>
      </c>
      <c r="E22" s="545"/>
      <c r="G22" s="575"/>
      <c r="H22" s="1351" t="str">
        <f xml:space="preserve"> IF(SUM(G22:G24)&lt;&gt;G19,"LA SOMMA DEI VALORI DEVE ESSERE UGUALE A " &amp; IF(G19&lt;&gt;0,G19,0),"")</f>
        <v/>
      </c>
      <c r="I22" s="371"/>
    </row>
    <row r="23" spans="1:9" ht="20.25" customHeight="1">
      <c r="A23" s="550"/>
      <c r="B23" s="545"/>
      <c r="C23" s="545"/>
      <c r="D23" s="545" t="s">
        <v>98</v>
      </c>
      <c r="E23" s="545"/>
      <c r="G23" s="575"/>
      <c r="H23" s="1351"/>
      <c r="I23" s="371"/>
    </row>
    <row r="24" spans="1:9" ht="20.25" customHeight="1">
      <c r="A24" s="550"/>
      <c r="B24" s="545"/>
      <c r="C24" s="545"/>
      <c r="D24" s="545" t="s">
        <v>99</v>
      </c>
      <c r="E24" s="545"/>
      <c r="G24" s="575"/>
      <c r="H24" s="1351"/>
      <c r="I24" s="371">
        <f>SUM(G22:G24,G19,G14:G17,G11,G7:G9)</f>
        <v>0</v>
      </c>
    </row>
    <row r="25" spans="1:9" ht="15" customHeight="1">
      <c r="A25" s="550"/>
      <c r="B25" s="545"/>
      <c r="C25" s="545"/>
      <c r="D25" s="545"/>
      <c r="E25" s="545"/>
      <c r="F25" s="545"/>
      <c r="G25" s="545"/>
      <c r="H25" s="572"/>
      <c r="I25" s="371"/>
    </row>
    <row r="26" spans="1:9" s="616" customFormat="1" ht="15" customHeight="1">
      <c r="A26" s="550"/>
      <c r="B26" s="545"/>
      <c r="C26" s="545"/>
      <c r="D26" s="545"/>
      <c r="E26" s="545"/>
      <c r="F26" s="545"/>
      <c r="G26" s="545"/>
      <c r="H26" s="573"/>
      <c r="I26" s="397"/>
    </row>
    <row r="27" spans="1:9" ht="13.8">
      <c r="A27" s="561"/>
      <c r="B27" s="562"/>
      <c r="C27" s="562"/>
      <c r="D27" s="562"/>
      <c r="E27" s="562"/>
      <c r="F27" s="562"/>
      <c r="G27" s="562"/>
      <c r="H27" s="574"/>
      <c r="I27" s="371"/>
    </row>
    <row r="28" spans="1:9" ht="13.8">
      <c r="A28" s="550"/>
      <c r="B28" s="545"/>
      <c r="C28" s="545"/>
      <c r="D28" s="545"/>
      <c r="E28" s="545"/>
      <c r="F28" s="545"/>
      <c r="G28" s="545"/>
      <c r="H28" s="545"/>
    </row>
    <row r="29" spans="1:9" ht="13.8">
      <c r="A29" s="550"/>
      <c r="B29" s="545"/>
      <c r="C29" s="545"/>
      <c r="D29" s="545"/>
      <c r="E29" s="545"/>
      <c r="F29" s="545"/>
      <c r="G29" s="545"/>
      <c r="H29" s="545"/>
    </row>
    <row r="30" spans="1:9" ht="13.8">
      <c r="A30" s="550"/>
      <c r="B30" s="545"/>
      <c r="C30" s="545"/>
      <c r="D30" s="545"/>
      <c r="E30" s="545"/>
      <c r="F30" s="545"/>
      <c r="G30" s="545"/>
      <c r="H30" s="545"/>
    </row>
    <row r="31" spans="1:9" ht="13.8">
      <c r="A31" s="550"/>
      <c r="B31" s="545"/>
      <c r="C31" s="545"/>
      <c r="D31" s="545"/>
      <c r="E31" s="545"/>
      <c r="F31" s="545"/>
      <c r="G31" s="545"/>
      <c r="H31" s="545"/>
    </row>
    <row r="32" spans="1:9" ht="13.8">
      <c r="A32" s="550"/>
      <c r="B32" s="545"/>
      <c r="C32" s="545"/>
      <c r="D32" s="545"/>
      <c r="E32" s="545"/>
      <c r="F32" s="545"/>
      <c r="G32" s="545"/>
      <c r="H32" s="545"/>
    </row>
    <row r="33" spans="1:8" ht="13.8">
      <c r="A33" s="550"/>
      <c r="B33" s="545"/>
      <c r="C33" s="545"/>
      <c r="D33" s="545"/>
      <c r="E33" s="545"/>
      <c r="F33" s="545"/>
      <c r="G33" s="545"/>
      <c r="H33" s="545"/>
    </row>
    <row r="34" spans="1:8" ht="23.25" customHeight="1">
      <c r="A34" s="550"/>
      <c r="B34" s="545"/>
      <c r="C34" s="545"/>
      <c r="D34" s="545"/>
      <c r="E34" s="545"/>
      <c r="F34" s="545"/>
      <c r="G34" s="545"/>
      <c r="H34" s="545"/>
    </row>
    <row r="35" spans="1:8" ht="23.25" customHeight="1">
      <c r="A35" s="550"/>
      <c r="B35" s="545"/>
      <c r="C35" s="545"/>
      <c r="D35" s="545"/>
      <c r="E35" s="545"/>
      <c r="F35" s="545"/>
      <c r="G35" s="545"/>
      <c r="H35" s="545"/>
    </row>
    <row r="36" spans="1:8" ht="23.25" customHeight="1">
      <c r="A36" s="550"/>
      <c r="B36" s="545"/>
      <c r="C36" s="545"/>
      <c r="D36" s="545"/>
      <c r="E36" s="545"/>
      <c r="F36" s="545"/>
      <c r="G36" s="545"/>
      <c r="H36" s="545"/>
    </row>
    <row r="37" spans="1:8" ht="23.25" customHeight="1">
      <c r="A37" s="550"/>
      <c r="B37" s="545"/>
      <c r="C37" s="545"/>
      <c r="D37" s="545"/>
      <c r="E37" s="545"/>
      <c r="F37" s="545"/>
      <c r="G37" s="545"/>
      <c r="H37" s="545"/>
    </row>
  </sheetData>
  <sheetProtection password="EA98" sheet="1" formatColumns="0" selectLockedCells="1"/>
  <mergeCells count="7">
    <mergeCell ref="B2:G2"/>
    <mergeCell ref="H7:H9"/>
    <mergeCell ref="H14:H17"/>
    <mergeCell ref="H22:H24"/>
    <mergeCell ref="H11:H12"/>
    <mergeCell ref="H19:H20"/>
    <mergeCell ref="B19:F20"/>
  </mergeCells>
  <phoneticPr fontId="0" type="noConversion"/>
  <dataValidations disablePrompts="1" count="1">
    <dataValidation type="whole" operator="greaterThanOrEqual" allowBlank="1" showInputMessage="1" showErrorMessage="1" errorTitle="ERRORE" error="IL VALORE DEVE ESSERE UN INTERO POSITIVO" sqref="G11">
      <formula1>0</formula1>
    </dataValidation>
  </dataValidations>
  <pageMargins left="0.34" right="0.34" top="0.5" bottom="0.38" header="0.5" footer="0.38"/>
  <pageSetup paperSize="9" scale="9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>
    <pageSetUpPr fitToPage="1"/>
  </sheetPr>
  <dimension ref="A1:BE56"/>
  <sheetViews>
    <sheetView showGridLines="0" tabSelected="1" zoomScale="110" zoomScaleNormal="110" workbookViewId="0">
      <pane xSplit="2" ySplit="5" topLeftCell="AH6" activePane="bottomRight" state="frozen"/>
      <selection activeCell="A2" sqref="A2"/>
      <selection pane="topRight" activeCell="A2" sqref="A2"/>
      <selection pane="bottomLeft" activeCell="A2" sqref="A2"/>
      <selection pane="bottomRight" activeCell="AV7" sqref="AV7"/>
    </sheetView>
  </sheetViews>
  <sheetFormatPr defaultColWidth="9.28515625" defaultRowHeight="10.199999999999999"/>
  <cols>
    <col min="1" max="1" width="43.42578125" style="5" customWidth="1"/>
    <col min="2" max="2" width="8.7109375" style="7" customWidth="1"/>
    <col min="3" max="15" width="11.42578125" style="5" hidden="1" customWidth="1"/>
    <col min="16" max="16" width="11.7109375" style="5" hidden="1" customWidth="1"/>
    <col min="17" max="18" width="11.42578125" style="5" hidden="1" customWidth="1"/>
    <col min="19" max="19" width="16.140625" style="5" hidden="1" customWidth="1"/>
    <col min="20" max="23" width="11.42578125" style="5" hidden="1" customWidth="1"/>
    <col min="24" max="33" width="9.28515625" style="5" hidden="1" customWidth="1"/>
    <col min="34" max="46" width="11.42578125" style="5" customWidth="1"/>
    <col min="47" max="47" width="11.7109375" style="5" customWidth="1"/>
    <col min="48" max="49" width="11.42578125" style="5" customWidth="1"/>
    <col min="50" max="50" width="16.140625" style="5" bestFit="1" customWidth="1"/>
    <col min="51" max="54" width="11.42578125" style="5" customWidth="1"/>
    <col min="55" max="55" width="0" style="5" hidden="1" customWidth="1"/>
    <col min="56" max="16384" width="9.28515625" style="5"/>
  </cols>
  <sheetData>
    <row r="1" spans="1:55" ht="36" customHeight="1">
      <c r="A1" s="942" t="str">
        <f>'t1'!A1</f>
        <v>COMPARTO REGIONI ED AUTONOMIE LOCALI - anno 2017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2"/>
      <c r="M1" s="942"/>
      <c r="N1" s="942"/>
      <c r="O1" s="942"/>
      <c r="P1" s="942"/>
      <c r="Q1" s="942"/>
      <c r="R1" s="942"/>
      <c r="S1" s="942"/>
      <c r="T1" s="942"/>
      <c r="U1" s="942"/>
      <c r="V1" s="942"/>
      <c r="W1" s="311"/>
      <c r="AT1" s="1012"/>
      <c r="BB1" s="311"/>
    </row>
    <row r="2" spans="1:55" ht="27" customHeight="1" thickBot="1">
      <c r="A2" s="6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476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476"/>
    </row>
    <row r="3" spans="1:55" customFormat="1" ht="13.8" thickBot="1">
      <c r="A3" s="12"/>
      <c r="B3" s="13"/>
      <c r="C3" s="312" t="s">
        <v>292</v>
      </c>
      <c r="D3" s="17"/>
      <c r="E3" s="17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6"/>
      <c r="AH3" s="312" t="s">
        <v>292</v>
      </c>
      <c r="AI3" s="17"/>
      <c r="AJ3" s="17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6"/>
    </row>
    <row r="4" spans="1:55" ht="48" customHeight="1" thickTop="1">
      <c r="A4" s="290" t="s">
        <v>178</v>
      </c>
      <c r="B4" s="291" t="s">
        <v>103</v>
      </c>
      <c r="C4" s="481" t="s">
        <v>669</v>
      </c>
      <c r="D4" s="481" t="s">
        <v>670</v>
      </c>
      <c r="E4" s="481" t="s">
        <v>407</v>
      </c>
      <c r="F4" s="680" t="s">
        <v>29</v>
      </c>
      <c r="G4" s="680" t="s">
        <v>30</v>
      </c>
      <c r="H4" s="680" t="s">
        <v>671</v>
      </c>
      <c r="I4" s="680" t="s">
        <v>891</v>
      </c>
      <c r="J4" s="680" t="s">
        <v>750</v>
      </c>
      <c r="K4" s="482" t="s">
        <v>751</v>
      </c>
      <c r="L4" s="482" t="s">
        <v>672</v>
      </c>
      <c r="M4" s="701" t="s">
        <v>532</v>
      </c>
      <c r="N4" s="483" t="s">
        <v>673</v>
      </c>
      <c r="O4" s="483" t="s">
        <v>339</v>
      </c>
      <c r="P4" s="483" t="s">
        <v>752</v>
      </c>
      <c r="Q4" s="681" t="s">
        <v>753</v>
      </c>
      <c r="R4" s="681" t="s">
        <v>754</v>
      </c>
      <c r="S4" s="681" t="s">
        <v>755</v>
      </c>
      <c r="T4" s="681" t="s">
        <v>408</v>
      </c>
      <c r="U4" s="483" t="s">
        <v>515</v>
      </c>
      <c r="V4" s="682" t="s">
        <v>409</v>
      </c>
      <c r="W4" s="120" t="s">
        <v>189</v>
      </c>
      <c r="AH4" s="481" t="s">
        <v>669</v>
      </c>
      <c r="AI4" s="481" t="s">
        <v>670</v>
      </c>
      <c r="AJ4" s="481" t="s">
        <v>407</v>
      </c>
      <c r="AK4" s="680" t="s">
        <v>29</v>
      </c>
      <c r="AL4" s="680" t="s">
        <v>30</v>
      </c>
      <c r="AM4" s="680" t="s">
        <v>671</v>
      </c>
      <c r="AN4" s="680" t="s">
        <v>891</v>
      </c>
      <c r="AO4" s="680" t="s">
        <v>750</v>
      </c>
      <c r="AP4" s="482" t="s">
        <v>751</v>
      </c>
      <c r="AQ4" s="482" t="s">
        <v>672</v>
      </c>
      <c r="AR4" s="701" t="s">
        <v>532</v>
      </c>
      <c r="AS4" s="483" t="s">
        <v>673</v>
      </c>
      <c r="AT4" s="483" t="s">
        <v>339</v>
      </c>
      <c r="AU4" s="681" t="s">
        <v>903</v>
      </c>
      <c r="AV4" s="681" t="s">
        <v>753</v>
      </c>
      <c r="AW4" s="681" t="s">
        <v>754</v>
      </c>
      <c r="AX4" s="681" t="s">
        <v>755</v>
      </c>
      <c r="AY4" s="681" t="s">
        <v>408</v>
      </c>
      <c r="AZ4" s="483" t="s">
        <v>515</v>
      </c>
      <c r="BA4" s="682" t="s">
        <v>409</v>
      </c>
      <c r="BB4" s="120" t="s">
        <v>189</v>
      </c>
    </row>
    <row r="5" spans="1:55" ht="14.25" customHeight="1" thickBot="1">
      <c r="A5" s="877" t="s">
        <v>825</v>
      </c>
      <c r="B5" s="121"/>
      <c r="C5" s="484" t="s">
        <v>466</v>
      </c>
      <c r="D5" s="484" t="s">
        <v>410</v>
      </c>
      <c r="E5" s="484" t="s">
        <v>411</v>
      </c>
      <c r="F5" s="484" t="s">
        <v>340</v>
      </c>
      <c r="G5" s="484" t="s">
        <v>341</v>
      </c>
      <c r="H5" s="484" t="s">
        <v>412</v>
      </c>
      <c r="I5" s="484" t="s">
        <v>892</v>
      </c>
      <c r="J5" s="484" t="s">
        <v>747</v>
      </c>
      <c r="K5" s="485" t="s">
        <v>748</v>
      </c>
      <c r="L5" s="485" t="s">
        <v>342</v>
      </c>
      <c r="M5" s="485" t="s">
        <v>531</v>
      </c>
      <c r="N5" s="485" t="s">
        <v>413</v>
      </c>
      <c r="O5" s="485" t="s">
        <v>343</v>
      </c>
      <c r="P5" s="485" t="s">
        <v>565</v>
      </c>
      <c r="Q5" s="485" t="s">
        <v>667</v>
      </c>
      <c r="R5" s="485" t="s">
        <v>668</v>
      </c>
      <c r="S5" s="485" t="s">
        <v>749</v>
      </c>
      <c r="T5" s="485" t="s">
        <v>344</v>
      </c>
      <c r="U5" s="485" t="s">
        <v>345</v>
      </c>
      <c r="V5" s="485" t="s">
        <v>346</v>
      </c>
      <c r="W5" s="122" t="s">
        <v>141</v>
      </c>
      <c r="AH5" s="484" t="s">
        <v>466</v>
      </c>
      <c r="AI5" s="484" t="s">
        <v>410</v>
      </c>
      <c r="AJ5" s="484" t="s">
        <v>411</v>
      </c>
      <c r="AK5" s="484" t="s">
        <v>340</v>
      </c>
      <c r="AL5" s="484" t="s">
        <v>341</v>
      </c>
      <c r="AM5" s="484" t="s">
        <v>412</v>
      </c>
      <c r="AN5" s="484" t="s">
        <v>892</v>
      </c>
      <c r="AO5" s="484" t="s">
        <v>747</v>
      </c>
      <c r="AP5" s="485" t="s">
        <v>748</v>
      </c>
      <c r="AQ5" s="485" t="s">
        <v>342</v>
      </c>
      <c r="AR5" s="485" t="s">
        <v>531</v>
      </c>
      <c r="AS5" s="485" t="s">
        <v>413</v>
      </c>
      <c r="AT5" s="485" t="s">
        <v>343</v>
      </c>
      <c r="AU5" s="485" t="s">
        <v>565</v>
      </c>
      <c r="AV5" s="485" t="s">
        <v>667</v>
      </c>
      <c r="AW5" s="485" t="s">
        <v>668</v>
      </c>
      <c r="AX5" s="485" t="s">
        <v>749</v>
      </c>
      <c r="AY5" s="485" t="s">
        <v>344</v>
      </c>
      <c r="AZ5" s="485" t="s">
        <v>345</v>
      </c>
      <c r="BA5" s="485" t="s">
        <v>346</v>
      </c>
      <c r="BB5" s="122" t="s">
        <v>141</v>
      </c>
    </row>
    <row r="6" spans="1:55" ht="12.75" customHeight="1" thickTop="1">
      <c r="A6" s="152" t="str">
        <f>'t1'!A6</f>
        <v>SEGRETARIO A</v>
      </c>
      <c r="B6" s="224" t="str">
        <f>'t1'!B6</f>
        <v>0D0102</v>
      </c>
      <c r="C6" s="956">
        <f>ROUND(AH6,0)</f>
        <v>0</v>
      </c>
      <c r="D6" s="956">
        <f t="shared" ref="D6:D49" si="0">ROUND(AI6,0)</f>
        <v>0</v>
      </c>
      <c r="E6" s="956">
        <f t="shared" ref="E6:E49" si="1">ROUND(AJ6,0)</f>
        <v>0</v>
      </c>
      <c r="F6" s="957">
        <f t="shared" ref="F6:F49" si="2">ROUND(AK6,0)</f>
        <v>0</v>
      </c>
      <c r="G6" s="957">
        <f t="shared" ref="G6:G49" si="3">ROUND(AL6,0)</f>
        <v>0</v>
      </c>
      <c r="H6" s="957">
        <f t="shared" ref="H6:I49" si="4">ROUND(AM6,0)</f>
        <v>0</v>
      </c>
      <c r="I6" s="957">
        <f t="shared" si="4"/>
        <v>0</v>
      </c>
      <c r="J6" s="957">
        <f t="shared" ref="J6:J49" si="5">ROUND(AO6,0)</f>
        <v>0</v>
      </c>
      <c r="K6" s="957">
        <f t="shared" ref="K6:K49" si="6">ROUND(AP6,0)</f>
        <v>0</v>
      </c>
      <c r="L6" s="957">
        <f t="shared" ref="L6:L49" si="7">ROUND(AQ6,0)</f>
        <v>0</v>
      </c>
      <c r="M6" s="957">
        <f t="shared" ref="M6:M49" si="8">ROUND(AR6,0)</f>
        <v>0</v>
      </c>
      <c r="N6" s="957">
        <f t="shared" ref="N6:N49" si="9">ROUND(AS6,0)</f>
        <v>0</v>
      </c>
      <c r="O6" s="957">
        <f t="shared" ref="O6:O49" si="10">ROUND(AT6,0)</f>
        <v>0</v>
      </c>
      <c r="P6" s="957">
        <f t="shared" ref="P6:P49" si="11">ROUND(AU6,0)</f>
        <v>0</v>
      </c>
      <c r="Q6" s="957">
        <f t="shared" ref="Q6:Q49" si="12">ROUND(AV6,0)</f>
        <v>0</v>
      </c>
      <c r="R6" s="957">
        <f t="shared" ref="R6:R49" si="13">ROUND(AW6,0)</f>
        <v>0</v>
      </c>
      <c r="S6" s="957">
        <f t="shared" ref="S6:S49" si="14">ROUND(AX6,0)</f>
        <v>0</v>
      </c>
      <c r="T6" s="957">
        <f t="shared" ref="T6:T49" si="15">ROUND(AY6,0)</f>
        <v>0</v>
      </c>
      <c r="U6" s="957">
        <f t="shared" ref="U6:U49" si="16">ROUND(AZ6,0)</f>
        <v>0</v>
      </c>
      <c r="V6" s="957">
        <f t="shared" ref="V6:V49" si="17">ROUND(BA6,0)</f>
        <v>0</v>
      </c>
      <c r="W6" s="472">
        <f t="shared" ref="W6:W49" si="18">SUM(C6:V6)</f>
        <v>0</v>
      </c>
      <c r="X6" s="867">
        <f>'t1'!N6</f>
        <v>0</v>
      </c>
      <c r="AH6" s="211"/>
      <c r="AI6" s="211"/>
      <c r="AJ6" s="211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472">
        <f t="shared" ref="BB6:BB49" si="19">SUM(AH6:BA6)</f>
        <v>0</v>
      </c>
      <c r="BC6" s="867">
        <f>'t1'!AS6</f>
        <v>0</v>
      </c>
    </row>
    <row r="7" spans="1:55" ht="12.75" customHeight="1">
      <c r="A7" s="152" t="str">
        <f>'t1'!A7</f>
        <v>SEGRETARIO B</v>
      </c>
      <c r="B7" s="224" t="str">
        <f>'t1'!B7</f>
        <v>0D0103</v>
      </c>
      <c r="C7" s="956">
        <f t="shared" ref="C7:C49" si="20">ROUND(AH7,0)</f>
        <v>0</v>
      </c>
      <c r="D7" s="956">
        <f t="shared" si="0"/>
        <v>0</v>
      </c>
      <c r="E7" s="956">
        <f t="shared" si="1"/>
        <v>0</v>
      </c>
      <c r="F7" s="957">
        <f t="shared" si="2"/>
        <v>0</v>
      </c>
      <c r="G7" s="957">
        <f t="shared" si="3"/>
        <v>0</v>
      </c>
      <c r="H7" s="957">
        <f t="shared" si="4"/>
        <v>0</v>
      </c>
      <c r="I7" s="957">
        <f t="shared" si="4"/>
        <v>0</v>
      </c>
      <c r="J7" s="957">
        <f t="shared" si="5"/>
        <v>0</v>
      </c>
      <c r="K7" s="957">
        <f t="shared" si="6"/>
        <v>0</v>
      </c>
      <c r="L7" s="957">
        <f t="shared" si="7"/>
        <v>0</v>
      </c>
      <c r="M7" s="957">
        <f t="shared" si="8"/>
        <v>0</v>
      </c>
      <c r="N7" s="957">
        <f t="shared" si="9"/>
        <v>0</v>
      </c>
      <c r="O7" s="957">
        <f t="shared" si="10"/>
        <v>0</v>
      </c>
      <c r="P7" s="957">
        <f t="shared" si="11"/>
        <v>0</v>
      </c>
      <c r="Q7" s="957">
        <f t="shared" si="12"/>
        <v>4220</v>
      </c>
      <c r="R7" s="957">
        <f t="shared" si="13"/>
        <v>0</v>
      </c>
      <c r="S7" s="957">
        <f t="shared" si="14"/>
        <v>0</v>
      </c>
      <c r="T7" s="957">
        <f t="shared" si="15"/>
        <v>0</v>
      </c>
      <c r="U7" s="957">
        <f t="shared" si="16"/>
        <v>0</v>
      </c>
      <c r="V7" s="957">
        <f t="shared" si="17"/>
        <v>0</v>
      </c>
      <c r="W7" s="472">
        <f t="shared" si="18"/>
        <v>4220</v>
      </c>
      <c r="X7" s="867">
        <f>'t1'!N7</f>
        <v>0</v>
      </c>
      <c r="AH7" s="211"/>
      <c r="AI7" s="211"/>
      <c r="AJ7" s="211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>
        <v>4220</v>
      </c>
      <c r="AW7" s="212"/>
      <c r="AX7" s="212"/>
      <c r="AY7" s="212"/>
      <c r="AZ7" s="212"/>
      <c r="BA7" s="212"/>
      <c r="BB7" s="472">
        <f t="shared" si="19"/>
        <v>4220</v>
      </c>
      <c r="BC7" s="867">
        <f>'t1'!AS7</f>
        <v>0</v>
      </c>
    </row>
    <row r="8" spans="1:55" ht="12.75" customHeight="1">
      <c r="A8" s="152" t="str">
        <f>'t1'!A8</f>
        <v>SEGRETARIO C</v>
      </c>
      <c r="B8" s="224" t="str">
        <f>'t1'!B8</f>
        <v>0D0485</v>
      </c>
      <c r="C8" s="956">
        <f t="shared" si="20"/>
        <v>0</v>
      </c>
      <c r="D8" s="956">
        <f t="shared" si="0"/>
        <v>0</v>
      </c>
      <c r="E8" s="956">
        <f t="shared" si="1"/>
        <v>0</v>
      </c>
      <c r="F8" s="957">
        <f t="shared" si="2"/>
        <v>0</v>
      </c>
      <c r="G8" s="957">
        <f t="shared" si="3"/>
        <v>0</v>
      </c>
      <c r="H8" s="957">
        <f t="shared" si="4"/>
        <v>0</v>
      </c>
      <c r="I8" s="957">
        <f t="shared" si="4"/>
        <v>0</v>
      </c>
      <c r="J8" s="957">
        <f t="shared" si="5"/>
        <v>0</v>
      </c>
      <c r="K8" s="957">
        <f t="shared" si="6"/>
        <v>0</v>
      </c>
      <c r="L8" s="957">
        <f t="shared" si="7"/>
        <v>0</v>
      </c>
      <c r="M8" s="957">
        <f t="shared" si="8"/>
        <v>0</v>
      </c>
      <c r="N8" s="957">
        <f t="shared" si="9"/>
        <v>0</v>
      </c>
      <c r="O8" s="957">
        <f t="shared" si="10"/>
        <v>0</v>
      </c>
      <c r="P8" s="957">
        <f t="shared" si="11"/>
        <v>0</v>
      </c>
      <c r="Q8" s="957">
        <f t="shared" si="12"/>
        <v>0</v>
      </c>
      <c r="R8" s="957">
        <f t="shared" si="13"/>
        <v>0</v>
      </c>
      <c r="S8" s="957">
        <f t="shared" si="14"/>
        <v>0</v>
      </c>
      <c r="T8" s="957">
        <f t="shared" si="15"/>
        <v>0</v>
      </c>
      <c r="U8" s="957">
        <f t="shared" si="16"/>
        <v>0</v>
      </c>
      <c r="V8" s="957">
        <f t="shared" si="17"/>
        <v>0</v>
      </c>
      <c r="W8" s="472">
        <f t="shared" si="18"/>
        <v>0</v>
      </c>
      <c r="X8" s="867">
        <f>'t1'!N8</f>
        <v>0</v>
      </c>
      <c r="AH8" s="211"/>
      <c r="AI8" s="211"/>
      <c r="AJ8" s="211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472">
        <f t="shared" si="19"/>
        <v>0</v>
      </c>
      <c r="BC8" s="867">
        <f>'t1'!AS8</f>
        <v>0</v>
      </c>
    </row>
    <row r="9" spans="1:55" ht="12.75" customHeight="1">
      <c r="A9" s="152" t="str">
        <f>'t1'!A9</f>
        <v>SEGRETARIO GENERALE CCIAA</v>
      </c>
      <c r="B9" s="224" t="str">
        <f>'t1'!B9</f>
        <v>0D0104</v>
      </c>
      <c r="C9" s="956">
        <f t="shared" si="20"/>
        <v>0</v>
      </c>
      <c r="D9" s="956">
        <f t="shared" si="0"/>
        <v>0</v>
      </c>
      <c r="E9" s="956">
        <f t="shared" si="1"/>
        <v>0</v>
      </c>
      <c r="F9" s="957">
        <f t="shared" si="2"/>
        <v>0</v>
      </c>
      <c r="G9" s="957">
        <f t="shared" si="3"/>
        <v>0</v>
      </c>
      <c r="H9" s="957">
        <f t="shared" si="4"/>
        <v>0</v>
      </c>
      <c r="I9" s="957">
        <f t="shared" si="4"/>
        <v>0</v>
      </c>
      <c r="J9" s="957">
        <f t="shared" si="5"/>
        <v>0</v>
      </c>
      <c r="K9" s="957">
        <f t="shared" si="6"/>
        <v>0</v>
      </c>
      <c r="L9" s="957">
        <f t="shared" si="7"/>
        <v>0</v>
      </c>
      <c r="M9" s="957">
        <f t="shared" si="8"/>
        <v>0</v>
      </c>
      <c r="N9" s="957">
        <f t="shared" si="9"/>
        <v>0</v>
      </c>
      <c r="O9" s="957">
        <f t="shared" si="10"/>
        <v>0</v>
      </c>
      <c r="P9" s="957">
        <f t="shared" si="11"/>
        <v>0</v>
      </c>
      <c r="Q9" s="957">
        <f t="shared" si="12"/>
        <v>0</v>
      </c>
      <c r="R9" s="957">
        <f t="shared" si="13"/>
        <v>0</v>
      </c>
      <c r="S9" s="957">
        <f t="shared" si="14"/>
        <v>0</v>
      </c>
      <c r="T9" s="957">
        <f t="shared" si="15"/>
        <v>0</v>
      </c>
      <c r="U9" s="957">
        <f t="shared" si="16"/>
        <v>0</v>
      </c>
      <c r="V9" s="957">
        <f t="shared" si="17"/>
        <v>0</v>
      </c>
      <c r="W9" s="472">
        <f t="shared" si="18"/>
        <v>0</v>
      </c>
      <c r="X9" s="867">
        <f>'t1'!N9</f>
        <v>0</v>
      </c>
      <c r="AH9" s="211"/>
      <c r="AI9" s="211"/>
      <c r="AJ9" s="211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472">
        <f t="shared" si="19"/>
        <v>0</v>
      </c>
      <c r="BC9" s="867">
        <f>'t1'!AS9</f>
        <v>0</v>
      </c>
    </row>
    <row r="10" spans="1:55" ht="12.75" customHeight="1">
      <c r="A10" s="152" t="str">
        <f>'t1'!A10</f>
        <v>DIRETTORE  GENERALE</v>
      </c>
      <c r="B10" s="224" t="str">
        <f>'t1'!B10</f>
        <v>0D0097</v>
      </c>
      <c r="C10" s="956">
        <f t="shared" si="20"/>
        <v>0</v>
      </c>
      <c r="D10" s="956">
        <f t="shared" si="0"/>
        <v>0</v>
      </c>
      <c r="E10" s="956">
        <f t="shared" si="1"/>
        <v>0</v>
      </c>
      <c r="F10" s="957">
        <f t="shared" si="2"/>
        <v>0</v>
      </c>
      <c r="G10" s="957">
        <f t="shared" si="3"/>
        <v>0</v>
      </c>
      <c r="H10" s="957">
        <f t="shared" si="4"/>
        <v>0</v>
      </c>
      <c r="I10" s="957">
        <f t="shared" si="4"/>
        <v>0</v>
      </c>
      <c r="J10" s="957">
        <f t="shared" si="5"/>
        <v>0</v>
      </c>
      <c r="K10" s="957">
        <f t="shared" si="6"/>
        <v>0</v>
      </c>
      <c r="L10" s="957">
        <f t="shared" si="7"/>
        <v>0</v>
      </c>
      <c r="M10" s="957">
        <f t="shared" si="8"/>
        <v>0</v>
      </c>
      <c r="N10" s="957">
        <f t="shared" si="9"/>
        <v>0</v>
      </c>
      <c r="O10" s="957">
        <f t="shared" si="10"/>
        <v>0</v>
      </c>
      <c r="P10" s="957">
        <f t="shared" si="11"/>
        <v>0</v>
      </c>
      <c r="Q10" s="957">
        <f t="shared" si="12"/>
        <v>0</v>
      </c>
      <c r="R10" s="957">
        <f t="shared" si="13"/>
        <v>0</v>
      </c>
      <c r="S10" s="957">
        <f t="shared" si="14"/>
        <v>0</v>
      </c>
      <c r="T10" s="957">
        <f t="shared" si="15"/>
        <v>0</v>
      </c>
      <c r="U10" s="957">
        <f t="shared" si="16"/>
        <v>0</v>
      </c>
      <c r="V10" s="957">
        <f t="shared" si="17"/>
        <v>0</v>
      </c>
      <c r="W10" s="472">
        <f t="shared" si="18"/>
        <v>0</v>
      </c>
      <c r="X10" s="867">
        <f>'t1'!N10</f>
        <v>0</v>
      </c>
      <c r="AH10" s="211"/>
      <c r="AI10" s="211"/>
      <c r="AJ10" s="211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472">
        <f t="shared" si="19"/>
        <v>0</v>
      </c>
      <c r="BC10" s="867">
        <f>'t1'!AS10</f>
        <v>0</v>
      </c>
    </row>
    <row r="11" spans="1:55" ht="12.75" customHeight="1">
      <c r="A11" s="152" t="str">
        <f>'t1'!A11</f>
        <v>DIRIGENTE FUORI D.O. art.110 c.2 TUEL</v>
      </c>
      <c r="B11" s="224" t="str">
        <f>'t1'!B11</f>
        <v>0D0098</v>
      </c>
      <c r="C11" s="956">
        <f t="shared" si="20"/>
        <v>0</v>
      </c>
      <c r="D11" s="956">
        <f t="shared" si="0"/>
        <v>0</v>
      </c>
      <c r="E11" s="956">
        <f t="shared" si="1"/>
        <v>0</v>
      </c>
      <c r="F11" s="957">
        <f t="shared" si="2"/>
        <v>0</v>
      </c>
      <c r="G11" s="957">
        <f t="shared" si="3"/>
        <v>0</v>
      </c>
      <c r="H11" s="957">
        <f t="shared" si="4"/>
        <v>0</v>
      </c>
      <c r="I11" s="957">
        <f t="shared" si="4"/>
        <v>0</v>
      </c>
      <c r="J11" s="957">
        <f t="shared" si="5"/>
        <v>0</v>
      </c>
      <c r="K11" s="957">
        <f t="shared" si="6"/>
        <v>0</v>
      </c>
      <c r="L11" s="957">
        <f t="shared" si="7"/>
        <v>0</v>
      </c>
      <c r="M11" s="957">
        <f t="shared" si="8"/>
        <v>0</v>
      </c>
      <c r="N11" s="957">
        <f t="shared" si="9"/>
        <v>0</v>
      </c>
      <c r="O11" s="957">
        <f t="shared" si="10"/>
        <v>0</v>
      </c>
      <c r="P11" s="957">
        <f t="shared" si="11"/>
        <v>0</v>
      </c>
      <c r="Q11" s="957">
        <f t="shared" si="12"/>
        <v>0</v>
      </c>
      <c r="R11" s="957">
        <f t="shared" si="13"/>
        <v>0</v>
      </c>
      <c r="S11" s="957">
        <f t="shared" si="14"/>
        <v>0</v>
      </c>
      <c r="T11" s="957">
        <f t="shared" si="15"/>
        <v>0</v>
      </c>
      <c r="U11" s="957">
        <f t="shared" si="16"/>
        <v>0</v>
      </c>
      <c r="V11" s="957">
        <f t="shared" si="17"/>
        <v>0</v>
      </c>
      <c r="W11" s="472">
        <f t="shared" si="18"/>
        <v>0</v>
      </c>
      <c r="X11" s="867">
        <f>'t1'!N11</f>
        <v>0</v>
      </c>
      <c r="AH11" s="211"/>
      <c r="AI11" s="211"/>
      <c r="AJ11" s="211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472">
        <f t="shared" si="19"/>
        <v>0</v>
      </c>
      <c r="BC11" s="867">
        <f>'t1'!AS11</f>
        <v>0</v>
      </c>
    </row>
    <row r="12" spans="1:55" ht="12.75" customHeight="1">
      <c r="A12" s="152" t="str">
        <f>'t1'!A12</f>
        <v>ALTE SPECIALIZZ. FUORI D.O.art.110 c.2 TUEL</v>
      </c>
      <c r="B12" s="224" t="str">
        <f>'t1'!B12</f>
        <v>0D0095</v>
      </c>
      <c r="C12" s="956">
        <f t="shared" si="20"/>
        <v>0</v>
      </c>
      <c r="D12" s="956">
        <f t="shared" si="0"/>
        <v>0</v>
      </c>
      <c r="E12" s="956">
        <f t="shared" si="1"/>
        <v>0</v>
      </c>
      <c r="F12" s="957">
        <f t="shared" si="2"/>
        <v>0</v>
      </c>
      <c r="G12" s="957">
        <f t="shared" si="3"/>
        <v>0</v>
      </c>
      <c r="H12" s="957">
        <f t="shared" si="4"/>
        <v>0</v>
      </c>
      <c r="I12" s="957">
        <f t="shared" si="4"/>
        <v>0</v>
      </c>
      <c r="J12" s="957">
        <f t="shared" si="5"/>
        <v>0</v>
      </c>
      <c r="K12" s="957">
        <f t="shared" si="6"/>
        <v>0</v>
      </c>
      <c r="L12" s="957">
        <f t="shared" si="7"/>
        <v>0</v>
      </c>
      <c r="M12" s="957">
        <f t="shared" si="8"/>
        <v>0</v>
      </c>
      <c r="N12" s="957">
        <f t="shared" si="9"/>
        <v>0</v>
      </c>
      <c r="O12" s="957">
        <f t="shared" si="10"/>
        <v>0</v>
      </c>
      <c r="P12" s="957">
        <f t="shared" si="11"/>
        <v>0</v>
      </c>
      <c r="Q12" s="957">
        <f t="shared" si="12"/>
        <v>0</v>
      </c>
      <c r="R12" s="957">
        <f t="shared" si="13"/>
        <v>0</v>
      </c>
      <c r="S12" s="957">
        <f t="shared" si="14"/>
        <v>0</v>
      </c>
      <c r="T12" s="957">
        <f t="shared" si="15"/>
        <v>0</v>
      </c>
      <c r="U12" s="957">
        <f t="shared" si="16"/>
        <v>0</v>
      </c>
      <c r="V12" s="957">
        <f t="shared" si="17"/>
        <v>0</v>
      </c>
      <c r="W12" s="472">
        <f t="shared" si="18"/>
        <v>0</v>
      </c>
      <c r="X12" s="867">
        <f>'t1'!N12</f>
        <v>0</v>
      </c>
      <c r="AH12" s="211"/>
      <c r="AI12" s="211"/>
      <c r="AJ12" s="211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472">
        <f t="shared" si="19"/>
        <v>0</v>
      </c>
      <c r="BC12" s="867">
        <f>'t1'!AS12</f>
        <v>0</v>
      </c>
    </row>
    <row r="13" spans="1:55" ht="12.75" customHeight="1">
      <c r="A13" s="152" t="str">
        <f>'t1'!A13</f>
        <v>DIRIGENTE A TEMPO INDETERMINATO</v>
      </c>
      <c r="B13" s="224" t="str">
        <f>'t1'!B13</f>
        <v>0D0164</v>
      </c>
      <c r="C13" s="956">
        <f t="shared" si="20"/>
        <v>0</v>
      </c>
      <c r="D13" s="956">
        <f t="shared" si="0"/>
        <v>0</v>
      </c>
      <c r="E13" s="956">
        <f t="shared" si="1"/>
        <v>0</v>
      </c>
      <c r="F13" s="957">
        <f t="shared" si="2"/>
        <v>0</v>
      </c>
      <c r="G13" s="957">
        <f t="shared" si="3"/>
        <v>0</v>
      </c>
      <c r="H13" s="957">
        <f t="shared" si="4"/>
        <v>0</v>
      </c>
      <c r="I13" s="957">
        <f t="shared" si="4"/>
        <v>0</v>
      </c>
      <c r="J13" s="957">
        <f t="shared" si="5"/>
        <v>0</v>
      </c>
      <c r="K13" s="957">
        <f t="shared" si="6"/>
        <v>0</v>
      </c>
      <c r="L13" s="957">
        <f t="shared" si="7"/>
        <v>0</v>
      </c>
      <c r="M13" s="957">
        <f t="shared" si="8"/>
        <v>0</v>
      </c>
      <c r="N13" s="957">
        <f t="shared" si="9"/>
        <v>0</v>
      </c>
      <c r="O13" s="957">
        <f t="shared" si="10"/>
        <v>0</v>
      </c>
      <c r="P13" s="957">
        <f t="shared" si="11"/>
        <v>0</v>
      </c>
      <c r="Q13" s="957">
        <f t="shared" si="12"/>
        <v>0</v>
      </c>
      <c r="R13" s="957">
        <f t="shared" si="13"/>
        <v>0</v>
      </c>
      <c r="S13" s="957">
        <f t="shared" si="14"/>
        <v>0</v>
      </c>
      <c r="T13" s="957">
        <f t="shared" si="15"/>
        <v>0</v>
      </c>
      <c r="U13" s="957">
        <f t="shared" si="16"/>
        <v>0</v>
      </c>
      <c r="V13" s="957">
        <f t="shared" si="17"/>
        <v>0</v>
      </c>
      <c r="W13" s="472">
        <f t="shared" si="18"/>
        <v>0</v>
      </c>
      <c r="X13" s="867">
        <f>'t1'!N13</f>
        <v>0</v>
      </c>
      <c r="AH13" s="211"/>
      <c r="AI13" s="211"/>
      <c r="AJ13" s="211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472">
        <f t="shared" si="19"/>
        <v>0</v>
      </c>
      <c r="BC13" s="867">
        <f>'t1'!AS13</f>
        <v>0</v>
      </c>
    </row>
    <row r="14" spans="1:55" ht="12.75" customHeight="1">
      <c r="A14" s="152" t="str">
        <f>'t1'!A14</f>
        <v>DIRIGENTE A TEMPO DET.TO  ART.110 C.1 TUEL</v>
      </c>
      <c r="B14" s="224" t="str">
        <f>'t1'!B14</f>
        <v>0D0165</v>
      </c>
      <c r="C14" s="956">
        <f t="shared" si="20"/>
        <v>0</v>
      </c>
      <c r="D14" s="956">
        <f t="shared" si="0"/>
        <v>0</v>
      </c>
      <c r="E14" s="956">
        <f t="shared" si="1"/>
        <v>0</v>
      </c>
      <c r="F14" s="957">
        <f t="shared" si="2"/>
        <v>0</v>
      </c>
      <c r="G14" s="957">
        <f t="shared" si="3"/>
        <v>0</v>
      </c>
      <c r="H14" s="957">
        <f t="shared" si="4"/>
        <v>0</v>
      </c>
      <c r="I14" s="957">
        <f t="shared" si="4"/>
        <v>0</v>
      </c>
      <c r="J14" s="957">
        <f t="shared" si="5"/>
        <v>0</v>
      </c>
      <c r="K14" s="957">
        <f t="shared" si="6"/>
        <v>0</v>
      </c>
      <c r="L14" s="957">
        <f t="shared" si="7"/>
        <v>0</v>
      </c>
      <c r="M14" s="957">
        <f t="shared" si="8"/>
        <v>0</v>
      </c>
      <c r="N14" s="957">
        <f t="shared" si="9"/>
        <v>0</v>
      </c>
      <c r="O14" s="957">
        <f t="shared" si="10"/>
        <v>0</v>
      </c>
      <c r="P14" s="957">
        <f t="shared" si="11"/>
        <v>0</v>
      </c>
      <c r="Q14" s="957">
        <f t="shared" si="12"/>
        <v>0</v>
      </c>
      <c r="R14" s="957">
        <f t="shared" si="13"/>
        <v>0</v>
      </c>
      <c r="S14" s="957">
        <f t="shared" si="14"/>
        <v>0</v>
      </c>
      <c r="T14" s="957">
        <f t="shared" si="15"/>
        <v>0</v>
      </c>
      <c r="U14" s="957">
        <f t="shared" si="16"/>
        <v>0</v>
      </c>
      <c r="V14" s="957">
        <f t="shared" si="17"/>
        <v>0</v>
      </c>
      <c r="W14" s="472">
        <f t="shared" si="18"/>
        <v>0</v>
      </c>
      <c r="X14" s="867">
        <f>'t1'!N14</f>
        <v>0</v>
      </c>
      <c r="AH14" s="211"/>
      <c r="AI14" s="211"/>
      <c r="AJ14" s="211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472">
        <f t="shared" si="19"/>
        <v>0</v>
      </c>
      <c r="BC14" s="867">
        <f>'t1'!AS14</f>
        <v>0</v>
      </c>
    </row>
    <row r="15" spans="1:55" ht="12.75" customHeight="1">
      <c r="A15" s="152" t="str">
        <f>'t1'!A15</f>
        <v>ALTE SPECIALIZZ. IN D.O. art.110 c.1 TUEL</v>
      </c>
      <c r="B15" s="224" t="str">
        <f>'t1'!B15</f>
        <v>0D0I95</v>
      </c>
      <c r="C15" s="956">
        <f t="shared" si="20"/>
        <v>0</v>
      </c>
      <c r="D15" s="956">
        <f t="shared" si="0"/>
        <v>0</v>
      </c>
      <c r="E15" s="956">
        <f t="shared" si="1"/>
        <v>0</v>
      </c>
      <c r="F15" s="957">
        <f t="shared" si="2"/>
        <v>0</v>
      </c>
      <c r="G15" s="957">
        <f t="shared" si="3"/>
        <v>0</v>
      </c>
      <c r="H15" s="957">
        <f t="shared" si="4"/>
        <v>0</v>
      </c>
      <c r="I15" s="957">
        <f t="shared" si="4"/>
        <v>0</v>
      </c>
      <c r="J15" s="957">
        <f t="shared" si="5"/>
        <v>0</v>
      </c>
      <c r="K15" s="957">
        <f t="shared" si="6"/>
        <v>0</v>
      </c>
      <c r="L15" s="957">
        <f t="shared" si="7"/>
        <v>0</v>
      </c>
      <c r="M15" s="957">
        <f t="shared" si="8"/>
        <v>0</v>
      </c>
      <c r="N15" s="957">
        <f t="shared" si="9"/>
        <v>0</v>
      </c>
      <c r="O15" s="957">
        <f t="shared" si="10"/>
        <v>0</v>
      </c>
      <c r="P15" s="957">
        <f t="shared" si="11"/>
        <v>0</v>
      </c>
      <c r="Q15" s="957">
        <f t="shared" si="12"/>
        <v>0</v>
      </c>
      <c r="R15" s="957">
        <f t="shared" si="13"/>
        <v>0</v>
      </c>
      <c r="S15" s="957">
        <f t="shared" si="14"/>
        <v>0</v>
      </c>
      <c r="T15" s="957">
        <f t="shared" si="15"/>
        <v>0</v>
      </c>
      <c r="U15" s="957">
        <f t="shared" si="16"/>
        <v>0</v>
      </c>
      <c r="V15" s="957">
        <f t="shared" si="17"/>
        <v>0</v>
      </c>
      <c r="W15" s="472">
        <f t="shared" si="18"/>
        <v>0</v>
      </c>
      <c r="X15" s="867">
        <f>'t1'!N15</f>
        <v>0</v>
      </c>
      <c r="AH15" s="211"/>
      <c r="AI15" s="211"/>
      <c r="AJ15" s="211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472">
        <f t="shared" si="19"/>
        <v>0</v>
      </c>
      <c r="BC15" s="867">
        <f>'t1'!AS15</f>
        <v>0</v>
      </c>
    </row>
    <row r="16" spans="1:55" ht="12.75" customHeight="1">
      <c r="A16" s="152" t="str">
        <f>'t1'!A16</f>
        <v>POSIZ. ECON. D6 - PROFILI ACCESSO D3</v>
      </c>
      <c r="B16" s="224" t="str">
        <f>'t1'!B16</f>
        <v>0D6A00</v>
      </c>
      <c r="C16" s="956">
        <f t="shared" si="20"/>
        <v>0</v>
      </c>
      <c r="D16" s="956">
        <f t="shared" si="0"/>
        <v>0</v>
      </c>
      <c r="E16" s="956">
        <f t="shared" si="1"/>
        <v>0</v>
      </c>
      <c r="F16" s="957">
        <f t="shared" si="2"/>
        <v>0</v>
      </c>
      <c r="G16" s="957">
        <f t="shared" si="3"/>
        <v>0</v>
      </c>
      <c r="H16" s="957">
        <f t="shared" si="4"/>
        <v>0</v>
      </c>
      <c r="I16" s="957">
        <f t="shared" si="4"/>
        <v>0</v>
      </c>
      <c r="J16" s="957">
        <f t="shared" si="5"/>
        <v>0</v>
      </c>
      <c r="K16" s="957">
        <f t="shared" si="6"/>
        <v>0</v>
      </c>
      <c r="L16" s="957">
        <f t="shared" si="7"/>
        <v>0</v>
      </c>
      <c r="M16" s="957">
        <f t="shared" si="8"/>
        <v>0</v>
      </c>
      <c r="N16" s="957">
        <f t="shared" si="9"/>
        <v>0</v>
      </c>
      <c r="O16" s="957">
        <f t="shared" si="10"/>
        <v>0</v>
      </c>
      <c r="P16" s="957">
        <f t="shared" si="11"/>
        <v>0</v>
      </c>
      <c r="Q16" s="957">
        <f t="shared" si="12"/>
        <v>0</v>
      </c>
      <c r="R16" s="957">
        <f t="shared" si="13"/>
        <v>0</v>
      </c>
      <c r="S16" s="957">
        <f t="shared" si="14"/>
        <v>0</v>
      </c>
      <c r="T16" s="957">
        <f t="shared" si="15"/>
        <v>0</v>
      </c>
      <c r="U16" s="957">
        <f t="shared" si="16"/>
        <v>0</v>
      </c>
      <c r="V16" s="957">
        <f t="shared" si="17"/>
        <v>0</v>
      </c>
      <c r="W16" s="472">
        <f t="shared" si="18"/>
        <v>0</v>
      </c>
      <c r="X16" s="867">
        <f>'t1'!N16</f>
        <v>0</v>
      </c>
      <c r="AH16" s="211"/>
      <c r="AI16" s="211"/>
      <c r="AJ16" s="211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472">
        <f t="shared" si="19"/>
        <v>0</v>
      </c>
      <c r="BC16" s="867">
        <f>'t1'!AS16</f>
        <v>0</v>
      </c>
    </row>
    <row r="17" spans="1:55" ht="12.75" customHeight="1">
      <c r="A17" s="152" t="str">
        <f>'t1'!A17</f>
        <v>POSIZ. ECON. D6 - PROFILO ACCESSO D1</v>
      </c>
      <c r="B17" s="224" t="str">
        <f>'t1'!B17</f>
        <v>0D6000</v>
      </c>
      <c r="C17" s="956">
        <f t="shared" si="20"/>
        <v>0</v>
      </c>
      <c r="D17" s="956">
        <f t="shared" si="0"/>
        <v>0</v>
      </c>
      <c r="E17" s="956">
        <f t="shared" si="1"/>
        <v>0</v>
      </c>
      <c r="F17" s="957">
        <f t="shared" si="2"/>
        <v>0</v>
      </c>
      <c r="G17" s="957">
        <f t="shared" si="3"/>
        <v>0</v>
      </c>
      <c r="H17" s="957">
        <f t="shared" si="4"/>
        <v>0</v>
      </c>
      <c r="I17" s="957">
        <f t="shared" si="4"/>
        <v>0</v>
      </c>
      <c r="J17" s="957">
        <f t="shared" si="5"/>
        <v>0</v>
      </c>
      <c r="K17" s="957">
        <f t="shared" si="6"/>
        <v>0</v>
      </c>
      <c r="L17" s="957">
        <f t="shared" si="7"/>
        <v>0</v>
      </c>
      <c r="M17" s="957">
        <f t="shared" si="8"/>
        <v>0</v>
      </c>
      <c r="N17" s="957">
        <f t="shared" si="9"/>
        <v>0</v>
      </c>
      <c r="O17" s="957">
        <f t="shared" si="10"/>
        <v>0</v>
      </c>
      <c r="P17" s="957">
        <f t="shared" si="11"/>
        <v>0</v>
      </c>
      <c r="Q17" s="957">
        <f t="shared" si="12"/>
        <v>0</v>
      </c>
      <c r="R17" s="957">
        <f t="shared" si="13"/>
        <v>0</v>
      </c>
      <c r="S17" s="957">
        <f t="shared" si="14"/>
        <v>0</v>
      </c>
      <c r="T17" s="957">
        <f t="shared" si="15"/>
        <v>0</v>
      </c>
      <c r="U17" s="957">
        <f t="shared" si="16"/>
        <v>0</v>
      </c>
      <c r="V17" s="957">
        <f t="shared" si="17"/>
        <v>0</v>
      </c>
      <c r="W17" s="472">
        <f t="shared" si="18"/>
        <v>0</v>
      </c>
      <c r="X17" s="867">
        <f>'t1'!N17</f>
        <v>0</v>
      </c>
      <c r="AH17" s="211"/>
      <c r="AI17" s="211"/>
      <c r="AJ17" s="211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472">
        <f t="shared" si="19"/>
        <v>0</v>
      </c>
      <c r="BC17" s="867">
        <f>'t1'!AS17</f>
        <v>0</v>
      </c>
    </row>
    <row r="18" spans="1:55" ht="12.75" customHeight="1">
      <c r="A18" s="152" t="str">
        <f>'t1'!A18</f>
        <v>POSIZ. ECON. D5 PROFILI ACCESSO D3</v>
      </c>
      <c r="B18" s="224" t="str">
        <f>'t1'!B18</f>
        <v>052486</v>
      </c>
      <c r="C18" s="956">
        <f t="shared" si="20"/>
        <v>0</v>
      </c>
      <c r="D18" s="956">
        <f t="shared" si="0"/>
        <v>0</v>
      </c>
      <c r="E18" s="956">
        <f t="shared" si="1"/>
        <v>0</v>
      </c>
      <c r="F18" s="957">
        <f t="shared" si="2"/>
        <v>0</v>
      </c>
      <c r="G18" s="957">
        <f t="shared" si="3"/>
        <v>0</v>
      </c>
      <c r="H18" s="957">
        <f t="shared" si="4"/>
        <v>0</v>
      </c>
      <c r="I18" s="957">
        <f t="shared" si="4"/>
        <v>0</v>
      </c>
      <c r="J18" s="957">
        <f t="shared" si="5"/>
        <v>0</v>
      </c>
      <c r="K18" s="957">
        <f t="shared" si="6"/>
        <v>0</v>
      </c>
      <c r="L18" s="957">
        <f t="shared" si="7"/>
        <v>0</v>
      </c>
      <c r="M18" s="957">
        <f t="shared" si="8"/>
        <v>0</v>
      </c>
      <c r="N18" s="957">
        <f t="shared" si="9"/>
        <v>0</v>
      </c>
      <c r="O18" s="957">
        <f t="shared" si="10"/>
        <v>0</v>
      </c>
      <c r="P18" s="957">
        <f t="shared" si="11"/>
        <v>0</v>
      </c>
      <c r="Q18" s="957">
        <f t="shared" si="12"/>
        <v>0</v>
      </c>
      <c r="R18" s="957">
        <f t="shared" si="13"/>
        <v>0</v>
      </c>
      <c r="S18" s="957">
        <f t="shared" si="14"/>
        <v>0</v>
      </c>
      <c r="T18" s="957">
        <f t="shared" si="15"/>
        <v>0</v>
      </c>
      <c r="U18" s="957">
        <f t="shared" si="16"/>
        <v>0</v>
      </c>
      <c r="V18" s="957">
        <f t="shared" si="17"/>
        <v>0</v>
      </c>
      <c r="W18" s="472">
        <f t="shared" si="18"/>
        <v>0</v>
      </c>
      <c r="X18" s="867">
        <f>'t1'!N18</f>
        <v>0</v>
      </c>
      <c r="AH18" s="211"/>
      <c r="AI18" s="211"/>
      <c r="AJ18" s="211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472">
        <f t="shared" si="19"/>
        <v>0</v>
      </c>
      <c r="BC18" s="867">
        <f>'t1'!AS18</f>
        <v>0</v>
      </c>
    </row>
    <row r="19" spans="1:55" ht="12.75" customHeight="1">
      <c r="A19" s="152" t="str">
        <f>'t1'!A19</f>
        <v>POSIZ. ECON. D5 PROFILI ACCESSO D1</v>
      </c>
      <c r="B19" s="224" t="str">
        <f>'t1'!B19</f>
        <v>052487</v>
      </c>
      <c r="C19" s="956">
        <f t="shared" si="20"/>
        <v>0</v>
      </c>
      <c r="D19" s="956">
        <f t="shared" si="0"/>
        <v>0</v>
      </c>
      <c r="E19" s="956">
        <f t="shared" si="1"/>
        <v>0</v>
      </c>
      <c r="F19" s="957">
        <f t="shared" si="2"/>
        <v>0</v>
      </c>
      <c r="G19" s="957">
        <f t="shared" si="3"/>
        <v>0</v>
      </c>
      <c r="H19" s="957">
        <f t="shared" si="4"/>
        <v>0</v>
      </c>
      <c r="I19" s="957">
        <f t="shared" si="4"/>
        <v>0</v>
      </c>
      <c r="J19" s="957">
        <f t="shared" si="5"/>
        <v>0</v>
      </c>
      <c r="K19" s="957">
        <f t="shared" si="6"/>
        <v>0</v>
      </c>
      <c r="L19" s="957">
        <f t="shared" si="7"/>
        <v>0</v>
      </c>
      <c r="M19" s="957">
        <f t="shared" si="8"/>
        <v>0</v>
      </c>
      <c r="N19" s="957">
        <f t="shared" si="9"/>
        <v>0</v>
      </c>
      <c r="O19" s="957">
        <f t="shared" si="10"/>
        <v>0</v>
      </c>
      <c r="P19" s="957">
        <f t="shared" si="11"/>
        <v>0</v>
      </c>
      <c r="Q19" s="957">
        <f t="shared" si="12"/>
        <v>0</v>
      </c>
      <c r="R19" s="957">
        <f t="shared" si="13"/>
        <v>0</v>
      </c>
      <c r="S19" s="957">
        <f t="shared" si="14"/>
        <v>0</v>
      </c>
      <c r="T19" s="957">
        <f t="shared" si="15"/>
        <v>0</v>
      </c>
      <c r="U19" s="957">
        <f t="shared" si="16"/>
        <v>0</v>
      </c>
      <c r="V19" s="957">
        <f t="shared" si="17"/>
        <v>0</v>
      </c>
      <c r="W19" s="472">
        <f t="shared" si="18"/>
        <v>0</v>
      </c>
      <c r="X19" s="867">
        <f>'t1'!N19</f>
        <v>0</v>
      </c>
      <c r="AH19" s="211"/>
      <c r="AI19" s="211"/>
      <c r="AJ19" s="211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472">
        <f t="shared" si="19"/>
        <v>0</v>
      </c>
      <c r="BC19" s="867">
        <f>'t1'!AS19</f>
        <v>0</v>
      </c>
    </row>
    <row r="20" spans="1:55" ht="12.75" customHeight="1">
      <c r="A20" s="152" t="str">
        <f>'t1'!A20</f>
        <v>POSIZ. ECON. D4 PROFILI ACCESSO D3</v>
      </c>
      <c r="B20" s="224" t="str">
        <f>'t1'!B20</f>
        <v>051488</v>
      </c>
      <c r="C20" s="956">
        <f t="shared" si="20"/>
        <v>0</v>
      </c>
      <c r="D20" s="956">
        <f t="shared" si="0"/>
        <v>0</v>
      </c>
      <c r="E20" s="956">
        <f t="shared" si="1"/>
        <v>0</v>
      </c>
      <c r="F20" s="957">
        <f t="shared" si="2"/>
        <v>0</v>
      </c>
      <c r="G20" s="957">
        <f t="shared" si="3"/>
        <v>0</v>
      </c>
      <c r="H20" s="957">
        <f t="shared" si="4"/>
        <v>0</v>
      </c>
      <c r="I20" s="957">
        <f t="shared" si="4"/>
        <v>0</v>
      </c>
      <c r="J20" s="957">
        <f t="shared" si="5"/>
        <v>0</v>
      </c>
      <c r="K20" s="957">
        <f t="shared" si="6"/>
        <v>0</v>
      </c>
      <c r="L20" s="957">
        <f t="shared" si="7"/>
        <v>0</v>
      </c>
      <c r="M20" s="957">
        <f t="shared" si="8"/>
        <v>0</v>
      </c>
      <c r="N20" s="957">
        <f t="shared" si="9"/>
        <v>0</v>
      </c>
      <c r="O20" s="957">
        <f t="shared" si="10"/>
        <v>0</v>
      </c>
      <c r="P20" s="957">
        <f t="shared" si="11"/>
        <v>0</v>
      </c>
      <c r="Q20" s="957">
        <f t="shared" si="12"/>
        <v>0</v>
      </c>
      <c r="R20" s="957">
        <f t="shared" si="13"/>
        <v>0</v>
      </c>
      <c r="S20" s="957">
        <f t="shared" si="14"/>
        <v>0</v>
      </c>
      <c r="T20" s="957">
        <f t="shared" si="15"/>
        <v>0</v>
      </c>
      <c r="U20" s="957">
        <f t="shared" si="16"/>
        <v>0</v>
      </c>
      <c r="V20" s="957">
        <f t="shared" si="17"/>
        <v>0</v>
      </c>
      <c r="W20" s="472">
        <f t="shared" si="18"/>
        <v>0</v>
      </c>
      <c r="X20" s="867">
        <f>'t1'!N20</f>
        <v>0</v>
      </c>
      <c r="AH20" s="211"/>
      <c r="AI20" s="211"/>
      <c r="AJ20" s="211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472">
        <f t="shared" si="19"/>
        <v>0</v>
      </c>
      <c r="BC20" s="867">
        <f>'t1'!AS20</f>
        <v>0</v>
      </c>
    </row>
    <row r="21" spans="1:55" ht="12.75" customHeight="1">
      <c r="A21" s="152" t="str">
        <f>'t1'!A21</f>
        <v>POSIZ. ECON. D4 PROFILI ACCESSO D1</v>
      </c>
      <c r="B21" s="224" t="str">
        <f>'t1'!B21</f>
        <v>051489</v>
      </c>
      <c r="C21" s="956">
        <f t="shared" si="20"/>
        <v>0</v>
      </c>
      <c r="D21" s="956">
        <f t="shared" si="0"/>
        <v>0</v>
      </c>
      <c r="E21" s="956">
        <f t="shared" si="1"/>
        <v>0</v>
      </c>
      <c r="F21" s="957">
        <f t="shared" si="2"/>
        <v>0</v>
      </c>
      <c r="G21" s="957">
        <f t="shared" si="3"/>
        <v>0</v>
      </c>
      <c r="H21" s="957">
        <f t="shared" si="4"/>
        <v>0</v>
      </c>
      <c r="I21" s="957">
        <f t="shared" si="4"/>
        <v>0</v>
      </c>
      <c r="J21" s="957">
        <f t="shared" si="5"/>
        <v>0</v>
      </c>
      <c r="K21" s="957">
        <f t="shared" si="6"/>
        <v>0</v>
      </c>
      <c r="L21" s="957">
        <f t="shared" si="7"/>
        <v>0</v>
      </c>
      <c r="M21" s="957">
        <f t="shared" si="8"/>
        <v>0</v>
      </c>
      <c r="N21" s="957">
        <f t="shared" si="9"/>
        <v>0</v>
      </c>
      <c r="O21" s="957">
        <f t="shared" si="10"/>
        <v>0</v>
      </c>
      <c r="P21" s="957">
        <f t="shared" si="11"/>
        <v>0</v>
      </c>
      <c r="Q21" s="957">
        <f t="shared" si="12"/>
        <v>0</v>
      </c>
      <c r="R21" s="957">
        <f t="shared" si="13"/>
        <v>0</v>
      </c>
      <c r="S21" s="957">
        <f t="shared" si="14"/>
        <v>0</v>
      </c>
      <c r="T21" s="957">
        <f t="shared" si="15"/>
        <v>0</v>
      </c>
      <c r="U21" s="957">
        <f t="shared" si="16"/>
        <v>0</v>
      </c>
      <c r="V21" s="957">
        <f t="shared" si="17"/>
        <v>0</v>
      </c>
      <c r="W21" s="472">
        <f t="shared" si="18"/>
        <v>0</v>
      </c>
      <c r="X21" s="867">
        <f>'t1'!N21</f>
        <v>0</v>
      </c>
      <c r="AH21" s="211"/>
      <c r="AI21" s="211"/>
      <c r="AJ21" s="211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472">
        <f t="shared" si="19"/>
        <v>0</v>
      </c>
      <c r="BC21" s="867">
        <f>'t1'!AS21</f>
        <v>0</v>
      </c>
    </row>
    <row r="22" spans="1:55" ht="12.75" customHeight="1">
      <c r="A22" s="152" t="str">
        <f>'t1'!A22</f>
        <v>POSIZIONE ECONOMICA DI ACCESSO D3</v>
      </c>
      <c r="B22" s="224" t="str">
        <f>'t1'!B22</f>
        <v>058000</v>
      </c>
      <c r="C22" s="956">
        <f t="shared" si="20"/>
        <v>0</v>
      </c>
      <c r="D22" s="956">
        <f t="shared" si="0"/>
        <v>0</v>
      </c>
      <c r="E22" s="956">
        <f t="shared" si="1"/>
        <v>0</v>
      </c>
      <c r="F22" s="957">
        <f t="shared" si="2"/>
        <v>0</v>
      </c>
      <c r="G22" s="957">
        <f t="shared" si="3"/>
        <v>0</v>
      </c>
      <c r="H22" s="957">
        <f t="shared" si="4"/>
        <v>0</v>
      </c>
      <c r="I22" s="957">
        <f t="shared" si="4"/>
        <v>0</v>
      </c>
      <c r="J22" s="957">
        <f t="shared" si="5"/>
        <v>0</v>
      </c>
      <c r="K22" s="957">
        <f t="shared" si="6"/>
        <v>0</v>
      </c>
      <c r="L22" s="957">
        <f t="shared" si="7"/>
        <v>0</v>
      </c>
      <c r="M22" s="957">
        <f t="shared" si="8"/>
        <v>0</v>
      </c>
      <c r="N22" s="957">
        <f t="shared" si="9"/>
        <v>0</v>
      </c>
      <c r="O22" s="957">
        <f t="shared" si="10"/>
        <v>0</v>
      </c>
      <c r="P22" s="957">
        <f t="shared" si="11"/>
        <v>0</v>
      </c>
      <c r="Q22" s="957">
        <f t="shared" si="12"/>
        <v>0</v>
      </c>
      <c r="R22" s="957">
        <f t="shared" si="13"/>
        <v>0</v>
      </c>
      <c r="S22" s="957">
        <f t="shared" si="14"/>
        <v>0</v>
      </c>
      <c r="T22" s="957">
        <f t="shared" si="15"/>
        <v>0</v>
      </c>
      <c r="U22" s="957">
        <f t="shared" si="16"/>
        <v>0</v>
      </c>
      <c r="V22" s="957">
        <f t="shared" si="17"/>
        <v>0</v>
      </c>
      <c r="W22" s="472">
        <f t="shared" si="18"/>
        <v>0</v>
      </c>
      <c r="X22" s="867">
        <f>'t1'!N22</f>
        <v>0</v>
      </c>
      <c r="AH22" s="211"/>
      <c r="AI22" s="211"/>
      <c r="AJ22" s="211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472">
        <f t="shared" si="19"/>
        <v>0</v>
      </c>
      <c r="BC22" s="867">
        <f>'t1'!AS22</f>
        <v>0</v>
      </c>
    </row>
    <row r="23" spans="1:55" ht="12.75" customHeight="1">
      <c r="A23" s="152" t="str">
        <f>'t1'!A23</f>
        <v>POSIZIONE ECONOMICA D3</v>
      </c>
      <c r="B23" s="224" t="str">
        <f>'t1'!B23</f>
        <v>050000</v>
      </c>
      <c r="C23" s="956">
        <f t="shared" si="20"/>
        <v>0</v>
      </c>
      <c r="D23" s="956">
        <f t="shared" si="0"/>
        <v>0</v>
      </c>
      <c r="E23" s="956">
        <f t="shared" si="1"/>
        <v>0</v>
      </c>
      <c r="F23" s="957">
        <f t="shared" si="2"/>
        <v>0</v>
      </c>
      <c r="G23" s="957">
        <f t="shared" si="3"/>
        <v>0</v>
      </c>
      <c r="H23" s="957">
        <f t="shared" si="4"/>
        <v>0</v>
      </c>
      <c r="I23" s="957">
        <f t="shared" si="4"/>
        <v>0</v>
      </c>
      <c r="J23" s="957">
        <f t="shared" si="5"/>
        <v>0</v>
      </c>
      <c r="K23" s="957">
        <f t="shared" si="6"/>
        <v>0</v>
      </c>
      <c r="L23" s="957">
        <f t="shared" si="7"/>
        <v>0</v>
      </c>
      <c r="M23" s="957">
        <f t="shared" si="8"/>
        <v>0</v>
      </c>
      <c r="N23" s="957">
        <f t="shared" si="9"/>
        <v>0</v>
      </c>
      <c r="O23" s="957">
        <f t="shared" si="10"/>
        <v>0</v>
      </c>
      <c r="P23" s="957">
        <f t="shared" si="11"/>
        <v>0</v>
      </c>
      <c r="Q23" s="957">
        <f t="shared" si="12"/>
        <v>0</v>
      </c>
      <c r="R23" s="957">
        <f t="shared" si="13"/>
        <v>0</v>
      </c>
      <c r="S23" s="957">
        <f t="shared" si="14"/>
        <v>0</v>
      </c>
      <c r="T23" s="957">
        <f t="shared" si="15"/>
        <v>0</v>
      </c>
      <c r="U23" s="957">
        <f t="shared" si="16"/>
        <v>0</v>
      </c>
      <c r="V23" s="957">
        <f t="shared" si="17"/>
        <v>0</v>
      </c>
      <c r="W23" s="472">
        <f t="shared" si="18"/>
        <v>0</v>
      </c>
      <c r="X23" s="867">
        <f>'t1'!N23</f>
        <v>0</v>
      </c>
      <c r="AH23" s="211"/>
      <c r="AI23" s="211"/>
      <c r="AJ23" s="211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472">
        <f t="shared" si="19"/>
        <v>0</v>
      </c>
      <c r="BC23" s="867">
        <f>'t1'!AS23</f>
        <v>0</v>
      </c>
    </row>
    <row r="24" spans="1:55" ht="12.75" customHeight="1">
      <c r="A24" s="152" t="str">
        <f>'t1'!A24</f>
        <v>POSIZIONE ECONOMICA D2</v>
      </c>
      <c r="B24" s="224" t="str">
        <f>'t1'!B24</f>
        <v>049000</v>
      </c>
      <c r="C24" s="956">
        <f t="shared" si="20"/>
        <v>101</v>
      </c>
      <c r="D24" s="956">
        <f t="shared" si="0"/>
        <v>0</v>
      </c>
      <c r="E24" s="956">
        <f t="shared" si="1"/>
        <v>0</v>
      </c>
      <c r="F24" s="957">
        <f t="shared" si="2"/>
        <v>4431</v>
      </c>
      <c r="G24" s="957">
        <f t="shared" si="3"/>
        <v>2048</v>
      </c>
      <c r="H24" s="957">
        <f t="shared" si="4"/>
        <v>376</v>
      </c>
      <c r="I24" s="957">
        <f t="shared" si="4"/>
        <v>0</v>
      </c>
      <c r="J24" s="957">
        <f t="shared" si="5"/>
        <v>0</v>
      </c>
      <c r="K24" s="957">
        <f t="shared" si="6"/>
        <v>0</v>
      </c>
      <c r="L24" s="957">
        <f t="shared" si="7"/>
        <v>0</v>
      </c>
      <c r="M24" s="957">
        <f t="shared" si="8"/>
        <v>0</v>
      </c>
      <c r="N24" s="957">
        <f t="shared" si="9"/>
        <v>0</v>
      </c>
      <c r="O24" s="957">
        <f t="shared" si="10"/>
        <v>0</v>
      </c>
      <c r="P24" s="957">
        <f t="shared" si="11"/>
        <v>0</v>
      </c>
      <c r="Q24" s="957">
        <f t="shared" si="12"/>
        <v>0</v>
      </c>
      <c r="R24" s="957">
        <f t="shared" si="13"/>
        <v>0</v>
      </c>
      <c r="S24" s="957">
        <f t="shared" si="14"/>
        <v>0</v>
      </c>
      <c r="T24" s="957">
        <f t="shared" si="15"/>
        <v>0</v>
      </c>
      <c r="U24" s="957">
        <f t="shared" si="16"/>
        <v>0</v>
      </c>
      <c r="V24" s="957">
        <f t="shared" si="17"/>
        <v>0</v>
      </c>
      <c r="W24" s="472">
        <f t="shared" si="18"/>
        <v>6956</v>
      </c>
      <c r="X24" s="867">
        <f>'t1'!N24</f>
        <v>0</v>
      </c>
      <c r="AH24" s="211">
        <v>101</v>
      </c>
      <c r="AI24" s="211"/>
      <c r="AJ24" s="211"/>
      <c r="AK24" s="212">
        <v>4431</v>
      </c>
      <c r="AL24" s="212">
        <v>2048</v>
      </c>
      <c r="AM24" s="212">
        <v>376</v>
      </c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472">
        <f t="shared" si="19"/>
        <v>6956</v>
      </c>
      <c r="BC24" s="867">
        <f>'t1'!AS24</f>
        <v>0</v>
      </c>
    </row>
    <row r="25" spans="1:55" ht="12.75" customHeight="1">
      <c r="A25" s="152" t="str">
        <f>'t1'!A25</f>
        <v>POSIZIONE ECONOMICA DI ACCESSO D1</v>
      </c>
      <c r="B25" s="224" t="str">
        <f>'t1'!B25</f>
        <v>057000</v>
      </c>
      <c r="C25" s="956">
        <f t="shared" si="20"/>
        <v>12</v>
      </c>
      <c r="D25" s="956">
        <f t="shared" si="0"/>
        <v>0</v>
      </c>
      <c r="E25" s="956">
        <f t="shared" si="1"/>
        <v>0</v>
      </c>
      <c r="F25" s="957">
        <f t="shared" si="2"/>
        <v>0</v>
      </c>
      <c r="G25" s="957">
        <f t="shared" si="3"/>
        <v>0</v>
      </c>
      <c r="H25" s="957">
        <f t="shared" si="4"/>
        <v>48</v>
      </c>
      <c r="I25" s="957">
        <f t="shared" si="4"/>
        <v>0</v>
      </c>
      <c r="J25" s="957">
        <f t="shared" si="5"/>
        <v>0</v>
      </c>
      <c r="K25" s="957">
        <f t="shared" si="6"/>
        <v>0</v>
      </c>
      <c r="L25" s="957">
        <f t="shared" si="7"/>
        <v>0</v>
      </c>
      <c r="M25" s="957">
        <f t="shared" si="8"/>
        <v>0</v>
      </c>
      <c r="N25" s="957">
        <f t="shared" si="9"/>
        <v>0</v>
      </c>
      <c r="O25" s="957">
        <f t="shared" si="10"/>
        <v>0</v>
      </c>
      <c r="P25" s="957">
        <f t="shared" si="11"/>
        <v>0</v>
      </c>
      <c r="Q25" s="957">
        <f t="shared" si="12"/>
        <v>0</v>
      </c>
      <c r="R25" s="957">
        <f t="shared" si="13"/>
        <v>0</v>
      </c>
      <c r="S25" s="957">
        <f t="shared" si="14"/>
        <v>0</v>
      </c>
      <c r="T25" s="957">
        <f t="shared" si="15"/>
        <v>0</v>
      </c>
      <c r="U25" s="957">
        <f t="shared" si="16"/>
        <v>0</v>
      </c>
      <c r="V25" s="957">
        <f t="shared" si="17"/>
        <v>0</v>
      </c>
      <c r="W25" s="472">
        <f t="shared" si="18"/>
        <v>60</v>
      </c>
      <c r="X25" s="867">
        <f>'t1'!N25</f>
        <v>1</v>
      </c>
      <c r="AH25" s="211">
        <v>12</v>
      </c>
      <c r="AI25" s="211"/>
      <c r="AJ25" s="211"/>
      <c r="AK25" s="212"/>
      <c r="AL25" s="212"/>
      <c r="AM25" s="212">
        <v>48</v>
      </c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472">
        <f t="shared" si="19"/>
        <v>60</v>
      </c>
      <c r="BC25" s="867">
        <f>'t1'!AS25</f>
        <v>0</v>
      </c>
    </row>
    <row r="26" spans="1:55" ht="12.75" customHeight="1">
      <c r="A26" s="152" t="str">
        <f>'t1'!A26</f>
        <v>POSIZIONE ECONOMICA C5</v>
      </c>
      <c r="B26" s="224" t="str">
        <f>'t1'!B26</f>
        <v>046000</v>
      </c>
      <c r="C26" s="956">
        <f t="shared" si="20"/>
        <v>0</v>
      </c>
      <c r="D26" s="956">
        <f t="shared" si="0"/>
        <v>0</v>
      </c>
      <c r="E26" s="956">
        <f t="shared" si="1"/>
        <v>0</v>
      </c>
      <c r="F26" s="957">
        <f t="shared" si="2"/>
        <v>0</v>
      </c>
      <c r="G26" s="957">
        <f t="shared" si="3"/>
        <v>0</v>
      </c>
      <c r="H26" s="957">
        <f t="shared" si="4"/>
        <v>0</v>
      </c>
      <c r="I26" s="957">
        <f t="shared" si="4"/>
        <v>0</v>
      </c>
      <c r="J26" s="957">
        <f t="shared" si="5"/>
        <v>0</v>
      </c>
      <c r="K26" s="957">
        <f t="shared" si="6"/>
        <v>0</v>
      </c>
      <c r="L26" s="957">
        <f t="shared" si="7"/>
        <v>0</v>
      </c>
      <c r="M26" s="957">
        <f t="shared" si="8"/>
        <v>0</v>
      </c>
      <c r="N26" s="957">
        <f t="shared" si="9"/>
        <v>0</v>
      </c>
      <c r="O26" s="957">
        <f t="shared" si="10"/>
        <v>0</v>
      </c>
      <c r="P26" s="957">
        <f t="shared" si="11"/>
        <v>0</v>
      </c>
      <c r="Q26" s="957">
        <f t="shared" si="12"/>
        <v>0</v>
      </c>
      <c r="R26" s="957">
        <f t="shared" si="13"/>
        <v>0</v>
      </c>
      <c r="S26" s="957">
        <f t="shared" si="14"/>
        <v>0</v>
      </c>
      <c r="T26" s="957">
        <f t="shared" si="15"/>
        <v>0</v>
      </c>
      <c r="U26" s="957">
        <f t="shared" si="16"/>
        <v>0</v>
      </c>
      <c r="V26" s="957">
        <f t="shared" si="17"/>
        <v>0</v>
      </c>
      <c r="W26" s="472">
        <f t="shared" si="18"/>
        <v>0</v>
      </c>
      <c r="X26" s="867">
        <f>'t1'!N26</f>
        <v>0</v>
      </c>
      <c r="AH26" s="211"/>
      <c r="AI26" s="211"/>
      <c r="AJ26" s="211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472">
        <f t="shared" si="19"/>
        <v>0</v>
      </c>
      <c r="BC26" s="867">
        <f>'t1'!AS26</f>
        <v>0</v>
      </c>
    </row>
    <row r="27" spans="1:55" ht="12.75" customHeight="1">
      <c r="A27" s="152" t="str">
        <f>'t1'!A27</f>
        <v>POSIZIONE ECONOMICA C4</v>
      </c>
      <c r="B27" s="224" t="str">
        <f>'t1'!B27</f>
        <v>045000</v>
      </c>
      <c r="C27" s="956">
        <f t="shared" si="20"/>
        <v>0</v>
      </c>
      <c r="D27" s="956">
        <f t="shared" si="0"/>
        <v>0</v>
      </c>
      <c r="E27" s="956">
        <f t="shared" si="1"/>
        <v>0</v>
      </c>
      <c r="F27" s="957">
        <f t="shared" si="2"/>
        <v>0</v>
      </c>
      <c r="G27" s="957">
        <f t="shared" si="3"/>
        <v>0</v>
      </c>
      <c r="H27" s="957">
        <f t="shared" si="4"/>
        <v>0</v>
      </c>
      <c r="I27" s="957">
        <f t="shared" si="4"/>
        <v>0</v>
      </c>
      <c r="J27" s="957">
        <f t="shared" si="5"/>
        <v>0</v>
      </c>
      <c r="K27" s="957">
        <f t="shared" si="6"/>
        <v>0</v>
      </c>
      <c r="L27" s="957">
        <f t="shared" si="7"/>
        <v>0</v>
      </c>
      <c r="M27" s="957">
        <f t="shared" si="8"/>
        <v>0</v>
      </c>
      <c r="N27" s="957">
        <f t="shared" si="9"/>
        <v>0</v>
      </c>
      <c r="O27" s="957">
        <f t="shared" si="10"/>
        <v>0</v>
      </c>
      <c r="P27" s="957">
        <f t="shared" si="11"/>
        <v>0</v>
      </c>
      <c r="Q27" s="957">
        <f t="shared" si="12"/>
        <v>0</v>
      </c>
      <c r="R27" s="957">
        <f t="shared" si="13"/>
        <v>0</v>
      </c>
      <c r="S27" s="957">
        <f t="shared" si="14"/>
        <v>0</v>
      </c>
      <c r="T27" s="957">
        <f t="shared" si="15"/>
        <v>0</v>
      </c>
      <c r="U27" s="957">
        <f t="shared" si="16"/>
        <v>0</v>
      </c>
      <c r="V27" s="957">
        <f t="shared" si="17"/>
        <v>0</v>
      </c>
      <c r="W27" s="472">
        <f t="shared" si="18"/>
        <v>0</v>
      </c>
      <c r="X27" s="867">
        <f>'t1'!N27</f>
        <v>0</v>
      </c>
      <c r="AH27" s="211"/>
      <c r="AI27" s="211"/>
      <c r="AJ27" s="211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472">
        <f t="shared" si="19"/>
        <v>0</v>
      </c>
      <c r="BC27" s="867">
        <f>'t1'!AS27</f>
        <v>0</v>
      </c>
    </row>
    <row r="28" spans="1:55" ht="12.75" customHeight="1">
      <c r="A28" s="152" t="str">
        <f>'t1'!A28</f>
        <v>POSIZIONE ECONOMICA C3</v>
      </c>
      <c r="B28" s="224" t="str">
        <f>'t1'!B28</f>
        <v>043000</v>
      </c>
      <c r="C28" s="956">
        <f t="shared" si="20"/>
        <v>0</v>
      </c>
      <c r="D28" s="956">
        <f t="shared" si="0"/>
        <v>0</v>
      </c>
      <c r="E28" s="956">
        <f t="shared" si="1"/>
        <v>0</v>
      </c>
      <c r="F28" s="957">
        <f t="shared" si="2"/>
        <v>0</v>
      </c>
      <c r="G28" s="957">
        <f t="shared" si="3"/>
        <v>0</v>
      </c>
      <c r="H28" s="957">
        <f t="shared" si="4"/>
        <v>0</v>
      </c>
      <c r="I28" s="957">
        <f t="shared" si="4"/>
        <v>0</v>
      </c>
      <c r="J28" s="957">
        <f t="shared" si="5"/>
        <v>0</v>
      </c>
      <c r="K28" s="957">
        <f t="shared" si="6"/>
        <v>0</v>
      </c>
      <c r="L28" s="957">
        <f t="shared" si="7"/>
        <v>0</v>
      </c>
      <c r="M28" s="957">
        <f t="shared" si="8"/>
        <v>0</v>
      </c>
      <c r="N28" s="957">
        <f t="shared" si="9"/>
        <v>0</v>
      </c>
      <c r="O28" s="957">
        <f t="shared" si="10"/>
        <v>0</v>
      </c>
      <c r="P28" s="957">
        <f t="shared" si="11"/>
        <v>0</v>
      </c>
      <c r="Q28" s="957">
        <f t="shared" si="12"/>
        <v>0</v>
      </c>
      <c r="R28" s="957">
        <f t="shared" si="13"/>
        <v>0</v>
      </c>
      <c r="S28" s="957">
        <f t="shared" si="14"/>
        <v>0</v>
      </c>
      <c r="T28" s="957">
        <f t="shared" si="15"/>
        <v>0</v>
      </c>
      <c r="U28" s="957">
        <f t="shared" si="16"/>
        <v>0</v>
      </c>
      <c r="V28" s="957">
        <f t="shared" si="17"/>
        <v>0</v>
      </c>
      <c r="W28" s="472">
        <f t="shared" si="18"/>
        <v>0</v>
      </c>
      <c r="X28" s="867">
        <f>'t1'!N28</f>
        <v>0</v>
      </c>
      <c r="AH28" s="211"/>
      <c r="AI28" s="211"/>
      <c r="AJ28" s="211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472">
        <f t="shared" si="19"/>
        <v>0</v>
      </c>
      <c r="BC28" s="867">
        <f>'t1'!AS28</f>
        <v>0</v>
      </c>
    </row>
    <row r="29" spans="1:55" ht="12.75" customHeight="1">
      <c r="A29" s="152" t="str">
        <f>'t1'!A29</f>
        <v>POSIZIONE ECONOMICA C2</v>
      </c>
      <c r="B29" s="224" t="str">
        <f>'t1'!B29</f>
        <v>042000</v>
      </c>
      <c r="C29" s="956">
        <f t="shared" si="20"/>
        <v>149</v>
      </c>
      <c r="D29" s="956">
        <f t="shared" si="0"/>
        <v>1104</v>
      </c>
      <c r="E29" s="956">
        <f t="shared" si="1"/>
        <v>0</v>
      </c>
      <c r="F29" s="957">
        <f t="shared" si="2"/>
        <v>0</v>
      </c>
      <c r="G29" s="957">
        <f t="shared" si="3"/>
        <v>0</v>
      </c>
      <c r="H29" s="957">
        <f t="shared" si="4"/>
        <v>546</v>
      </c>
      <c r="I29" s="957">
        <f t="shared" si="4"/>
        <v>0</v>
      </c>
      <c r="J29" s="957">
        <f t="shared" si="5"/>
        <v>0</v>
      </c>
      <c r="K29" s="957">
        <f t="shared" si="6"/>
        <v>0</v>
      </c>
      <c r="L29" s="957">
        <f t="shared" si="7"/>
        <v>0</v>
      </c>
      <c r="M29" s="957">
        <f t="shared" si="8"/>
        <v>0</v>
      </c>
      <c r="N29" s="957">
        <f t="shared" si="9"/>
        <v>0</v>
      </c>
      <c r="O29" s="957">
        <f t="shared" si="10"/>
        <v>0</v>
      </c>
      <c r="P29" s="957">
        <f t="shared" si="11"/>
        <v>0</v>
      </c>
      <c r="Q29" s="957">
        <f t="shared" si="12"/>
        <v>0</v>
      </c>
      <c r="R29" s="957">
        <f t="shared" si="13"/>
        <v>0</v>
      </c>
      <c r="S29" s="957">
        <f t="shared" si="14"/>
        <v>0</v>
      </c>
      <c r="T29" s="957">
        <f t="shared" si="15"/>
        <v>0</v>
      </c>
      <c r="U29" s="957">
        <f t="shared" si="16"/>
        <v>0</v>
      </c>
      <c r="V29" s="957">
        <f t="shared" si="17"/>
        <v>218</v>
      </c>
      <c r="W29" s="472">
        <f t="shared" si="18"/>
        <v>2017</v>
      </c>
      <c r="X29" s="867">
        <f>'t1'!N29</f>
        <v>1</v>
      </c>
      <c r="AH29" s="211">
        <v>149</v>
      </c>
      <c r="AI29" s="211">
        <v>1104</v>
      </c>
      <c r="AJ29" s="211"/>
      <c r="AK29" s="212"/>
      <c r="AL29" s="212"/>
      <c r="AM29" s="212">
        <v>546</v>
      </c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>
        <v>218</v>
      </c>
      <c r="BB29" s="472">
        <f t="shared" si="19"/>
        <v>2017</v>
      </c>
      <c r="BC29" s="867">
        <f>'t1'!AS29</f>
        <v>0</v>
      </c>
    </row>
    <row r="30" spans="1:55" ht="12.75" customHeight="1">
      <c r="A30" s="152" t="str">
        <f>'t1'!A30</f>
        <v>POSIZIONE ECONOMICA DI ACCESSO C1</v>
      </c>
      <c r="B30" s="224" t="str">
        <f>'t1'!B30</f>
        <v>056000</v>
      </c>
      <c r="C30" s="956">
        <f t="shared" si="20"/>
        <v>189</v>
      </c>
      <c r="D30" s="956">
        <f t="shared" si="0"/>
        <v>0</v>
      </c>
      <c r="E30" s="956">
        <f t="shared" si="1"/>
        <v>0</v>
      </c>
      <c r="F30" s="957">
        <f t="shared" si="2"/>
        <v>0</v>
      </c>
      <c r="G30" s="957">
        <f t="shared" si="3"/>
        <v>0</v>
      </c>
      <c r="H30" s="957">
        <f t="shared" si="4"/>
        <v>704</v>
      </c>
      <c r="I30" s="957">
        <f t="shared" si="4"/>
        <v>0</v>
      </c>
      <c r="J30" s="957">
        <f t="shared" si="5"/>
        <v>0</v>
      </c>
      <c r="K30" s="957">
        <f t="shared" si="6"/>
        <v>0</v>
      </c>
      <c r="L30" s="957">
        <f t="shared" si="7"/>
        <v>0</v>
      </c>
      <c r="M30" s="957">
        <f t="shared" si="8"/>
        <v>0</v>
      </c>
      <c r="N30" s="957">
        <f t="shared" si="9"/>
        <v>0</v>
      </c>
      <c r="O30" s="957">
        <f t="shared" si="10"/>
        <v>0</v>
      </c>
      <c r="P30" s="957">
        <f t="shared" si="11"/>
        <v>0</v>
      </c>
      <c r="Q30" s="957">
        <f t="shared" si="12"/>
        <v>0</v>
      </c>
      <c r="R30" s="957">
        <f t="shared" si="13"/>
        <v>0</v>
      </c>
      <c r="S30" s="957">
        <f t="shared" si="14"/>
        <v>0</v>
      </c>
      <c r="T30" s="957">
        <f t="shared" si="15"/>
        <v>0</v>
      </c>
      <c r="U30" s="957">
        <f t="shared" si="16"/>
        <v>0</v>
      </c>
      <c r="V30" s="957">
        <f t="shared" si="17"/>
        <v>246</v>
      </c>
      <c r="W30" s="472">
        <f t="shared" si="18"/>
        <v>1139</v>
      </c>
      <c r="X30" s="867">
        <f>'t1'!N30</f>
        <v>1</v>
      </c>
      <c r="AH30" s="211">
        <v>189</v>
      </c>
      <c r="AI30" s="211"/>
      <c r="AJ30" s="211"/>
      <c r="AK30" s="212"/>
      <c r="AL30" s="212"/>
      <c r="AM30" s="212">
        <v>704</v>
      </c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>
        <v>246</v>
      </c>
      <c r="BB30" s="472">
        <f t="shared" si="19"/>
        <v>1139</v>
      </c>
      <c r="BC30" s="867">
        <f>'t1'!AS30</f>
        <v>0</v>
      </c>
    </row>
    <row r="31" spans="1:55" ht="12.75" customHeight="1">
      <c r="A31" s="152" t="str">
        <f>'t1'!A31</f>
        <v>POSIZ. ECON. B7 - PROFILO ACCESSO B3</v>
      </c>
      <c r="B31" s="224" t="str">
        <f>'t1'!B31</f>
        <v>0B7A00</v>
      </c>
      <c r="C31" s="956">
        <f t="shared" si="20"/>
        <v>0</v>
      </c>
      <c r="D31" s="956">
        <f t="shared" si="0"/>
        <v>0</v>
      </c>
      <c r="E31" s="956">
        <f t="shared" si="1"/>
        <v>0</v>
      </c>
      <c r="F31" s="957">
        <f t="shared" si="2"/>
        <v>0</v>
      </c>
      <c r="G31" s="957">
        <f t="shared" si="3"/>
        <v>0</v>
      </c>
      <c r="H31" s="957">
        <f t="shared" si="4"/>
        <v>0</v>
      </c>
      <c r="I31" s="957">
        <f t="shared" si="4"/>
        <v>0</v>
      </c>
      <c r="J31" s="957">
        <f t="shared" si="5"/>
        <v>0</v>
      </c>
      <c r="K31" s="957">
        <f t="shared" si="6"/>
        <v>0</v>
      </c>
      <c r="L31" s="957">
        <f t="shared" si="7"/>
        <v>0</v>
      </c>
      <c r="M31" s="957">
        <f t="shared" si="8"/>
        <v>0</v>
      </c>
      <c r="N31" s="957">
        <f t="shared" si="9"/>
        <v>0</v>
      </c>
      <c r="O31" s="957">
        <f t="shared" si="10"/>
        <v>0</v>
      </c>
      <c r="P31" s="957">
        <f t="shared" si="11"/>
        <v>0</v>
      </c>
      <c r="Q31" s="957">
        <f t="shared" si="12"/>
        <v>0</v>
      </c>
      <c r="R31" s="957">
        <f t="shared" si="13"/>
        <v>0</v>
      </c>
      <c r="S31" s="957">
        <f t="shared" si="14"/>
        <v>0</v>
      </c>
      <c r="T31" s="957">
        <f t="shared" si="15"/>
        <v>0</v>
      </c>
      <c r="U31" s="957">
        <f t="shared" si="16"/>
        <v>0</v>
      </c>
      <c r="V31" s="957">
        <f t="shared" si="17"/>
        <v>0</v>
      </c>
      <c r="W31" s="472">
        <f t="shared" si="18"/>
        <v>0</v>
      </c>
      <c r="X31" s="867">
        <f>'t1'!N31</f>
        <v>0</v>
      </c>
      <c r="AH31" s="211"/>
      <c r="AI31" s="211"/>
      <c r="AJ31" s="211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472">
        <f t="shared" si="19"/>
        <v>0</v>
      </c>
      <c r="BC31" s="867">
        <f>'t1'!AS31</f>
        <v>0</v>
      </c>
    </row>
    <row r="32" spans="1:55" ht="12.75" customHeight="1">
      <c r="A32" s="152" t="str">
        <f>'t1'!A32</f>
        <v>POSIZ. ECON. B7 - PROFILO  ACCESSO B1</v>
      </c>
      <c r="B32" s="224" t="str">
        <f>'t1'!B32</f>
        <v>0B7000</v>
      </c>
      <c r="C32" s="956">
        <f t="shared" si="20"/>
        <v>0</v>
      </c>
      <c r="D32" s="956">
        <f t="shared" si="0"/>
        <v>0</v>
      </c>
      <c r="E32" s="956">
        <f t="shared" si="1"/>
        <v>0</v>
      </c>
      <c r="F32" s="957">
        <f t="shared" si="2"/>
        <v>0</v>
      </c>
      <c r="G32" s="957">
        <f t="shared" si="3"/>
        <v>0</v>
      </c>
      <c r="H32" s="957">
        <f t="shared" si="4"/>
        <v>0</v>
      </c>
      <c r="I32" s="957">
        <f t="shared" si="4"/>
        <v>0</v>
      </c>
      <c r="J32" s="957">
        <f t="shared" si="5"/>
        <v>0</v>
      </c>
      <c r="K32" s="957">
        <f t="shared" si="6"/>
        <v>0</v>
      </c>
      <c r="L32" s="957">
        <f t="shared" si="7"/>
        <v>0</v>
      </c>
      <c r="M32" s="957">
        <f t="shared" si="8"/>
        <v>0</v>
      </c>
      <c r="N32" s="957">
        <f t="shared" si="9"/>
        <v>0</v>
      </c>
      <c r="O32" s="957">
        <f t="shared" si="10"/>
        <v>0</v>
      </c>
      <c r="P32" s="957">
        <f t="shared" si="11"/>
        <v>0</v>
      </c>
      <c r="Q32" s="957">
        <f t="shared" si="12"/>
        <v>0</v>
      </c>
      <c r="R32" s="957">
        <f t="shared" si="13"/>
        <v>0</v>
      </c>
      <c r="S32" s="957">
        <f t="shared" si="14"/>
        <v>0</v>
      </c>
      <c r="T32" s="957">
        <f t="shared" si="15"/>
        <v>0</v>
      </c>
      <c r="U32" s="957">
        <f t="shared" si="16"/>
        <v>0</v>
      </c>
      <c r="V32" s="957">
        <f t="shared" si="17"/>
        <v>0</v>
      </c>
      <c r="W32" s="472">
        <f t="shared" si="18"/>
        <v>0</v>
      </c>
      <c r="X32" s="867">
        <f>'t1'!N32</f>
        <v>0</v>
      </c>
      <c r="AH32" s="211"/>
      <c r="AI32" s="211"/>
      <c r="AJ32" s="211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472">
        <f t="shared" si="19"/>
        <v>0</v>
      </c>
      <c r="BC32" s="867">
        <f>'t1'!AS32</f>
        <v>0</v>
      </c>
    </row>
    <row r="33" spans="1:55" ht="12.75" customHeight="1">
      <c r="A33" s="152" t="str">
        <f>'t1'!A33</f>
        <v>POSIZ. ECON. B6 PROFILI ACCESSO B3</v>
      </c>
      <c r="B33" s="224" t="str">
        <f>'t1'!B33</f>
        <v>038490</v>
      </c>
      <c r="C33" s="956">
        <f t="shared" si="20"/>
        <v>0</v>
      </c>
      <c r="D33" s="956">
        <f t="shared" si="0"/>
        <v>0</v>
      </c>
      <c r="E33" s="956">
        <f t="shared" si="1"/>
        <v>0</v>
      </c>
      <c r="F33" s="957">
        <f t="shared" si="2"/>
        <v>0</v>
      </c>
      <c r="G33" s="957">
        <f t="shared" si="3"/>
        <v>0</v>
      </c>
      <c r="H33" s="957">
        <f t="shared" si="4"/>
        <v>0</v>
      </c>
      <c r="I33" s="957">
        <f t="shared" si="4"/>
        <v>0</v>
      </c>
      <c r="J33" s="957">
        <f t="shared" si="5"/>
        <v>0</v>
      </c>
      <c r="K33" s="957">
        <f t="shared" si="6"/>
        <v>0</v>
      </c>
      <c r="L33" s="957">
        <f t="shared" si="7"/>
        <v>0</v>
      </c>
      <c r="M33" s="957">
        <f t="shared" si="8"/>
        <v>0</v>
      </c>
      <c r="N33" s="957">
        <f t="shared" si="9"/>
        <v>0</v>
      </c>
      <c r="O33" s="957">
        <f t="shared" si="10"/>
        <v>0</v>
      </c>
      <c r="P33" s="957">
        <f t="shared" si="11"/>
        <v>0</v>
      </c>
      <c r="Q33" s="957">
        <f t="shared" si="12"/>
        <v>0</v>
      </c>
      <c r="R33" s="957">
        <f t="shared" si="13"/>
        <v>0</v>
      </c>
      <c r="S33" s="957">
        <f t="shared" si="14"/>
        <v>0</v>
      </c>
      <c r="T33" s="957">
        <f t="shared" si="15"/>
        <v>0</v>
      </c>
      <c r="U33" s="957">
        <f t="shared" si="16"/>
        <v>0</v>
      </c>
      <c r="V33" s="957">
        <f t="shared" si="17"/>
        <v>0</v>
      </c>
      <c r="W33" s="472">
        <f t="shared" si="18"/>
        <v>0</v>
      </c>
      <c r="X33" s="867">
        <f>'t1'!N33</f>
        <v>0</v>
      </c>
      <c r="AH33" s="211"/>
      <c r="AI33" s="211"/>
      <c r="AJ33" s="211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472">
        <f t="shared" si="19"/>
        <v>0</v>
      </c>
      <c r="BC33" s="867">
        <f>'t1'!AS33</f>
        <v>0</v>
      </c>
    </row>
    <row r="34" spans="1:55" ht="12.75" customHeight="1">
      <c r="A34" s="152" t="str">
        <f>'t1'!A34</f>
        <v>POSIZ. ECON. B6 PROFILI ACCESSO B1</v>
      </c>
      <c r="B34" s="224" t="str">
        <f>'t1'!B34</f>
        <v>038491</v>
      </c>
      <c r="C34" s="956">
        <f t="shared" si="20"/>
        <v>0</v>
      </c>
      <c r="D34" s="956">
        <f t="shared" si="0"/>
        <v>0</v>
      </c>
      <c r="E34" s="956">
        <f t="shared" si="1"/>
        <v>0</v>
      </c>
      <c r="F34" s="957">
        <f t="shared" si="2"/>
        <v>0</v>
      </c>
      <c r="G34" s="957">
        <f t="shared" si="3"/>
        <v>0</v>
      </c>
      <c r="H34" s="957">
        <f t="shared" si="4"/>
        <v>0</v>
      </c>
      <c r="I34" s="957">
        <f t="shared" si="4"/>
        <v>0</v>
      </c>
      <c r="J34" s="957">
        <f t="shared" si="5"/>
        <v>0</v>
      </c>
      <c r="K34" s="957">
        <f t="shared" si="6"/>
        <v>0</v>
      </c>
      <c r="L34" s="957">
        <f t="shared" si="7"/>
        <v>0</v>
      </c>
      <c r="M34" s="957">
        <f t="shared" si="8"/>
        <v>0</v>
      </c>
      <c r="N34" s="957">
        <f t="shared" si="9"/>
        <v>0</v>
      </c>
      <c r="O34" s="957">
        <f t="shared" si="10"/>
        <v>0</v>
      </c>
      <c r="P34" s="957">
        <f t="shared" si="11"/>
        <v>0</v>
      </c>
      <c r="Q34" s="957">
        <f t="shared" si="12"/>
        <v>0</v>
      </c>
      <c r="R34" s="957">
        <f t="shared" si="13"/>
        <v>0</v>
      </c>
      <c r="S34" s="957">
        <f t="shared" si="14"/>
        <v>0</v>
      </c>
      <c r="T34" s="957">
        <f t="shared" si="15"/>
        <v>0</v>
      </c>
      <c r="U34" s="957">
        <f t="shared" si="16"/>
        <v>0</v>
      </c>
      <c r="V34" s="957">
        <f t="shared" si="17"/>
        <v>0</v>
      </c>
      <c r="W34" s="472">
        <f t="shared" si="18"/>
        <v>0</v>
      </c>
      <c r="X34" s="867">
        <f>'t1'!N34</f>
        <v>0</v>
      </c>
      <c r="AH34" s="211"/>
      <c r="AI34" s="211"/>
      <c r="AJ34" s="211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472">
        <f t="shared" si="19"/>
        <v>0</v>
      </c>
      <c r="BC34" s="867">
        <f>'t1'!AS34</f>
        <v>0</v>
      </c>
    </row>
    <row r="35" spans="1:55" ht="12.75" customHeight="1">
      <c r="A35" s="152" t="str">
        <f>'t1'!A35</f>
        <v>POSIZ. ECON. B5 PROFILI ACCESSO B3</v>
      </c>
      <c r="B35" s="224" t="str">
        <f>'t1'!B35</f>
        <v>037492</v>
      </c>
      <c r="C35" s="956">
        <f t="shared" si="20"/>
        <v>0</v>
      </c>
      <c r="D35" s="956">
        <f t="shared" si="0"/>
        <v>0</v>
      </c>
      <c r="E35" s="956">
        <f t="shared" si="1"/>
        <v>0</v>
      </c>
      <c r="F35" s="957">
        <f t="shared" si="2"/>
        <v>0</v>
      </c>
      <c r="G35" s="957">
        <f t="shared" si="3"/>
        <v>0</v>
      </c>
      <c r="H35" s="957">
        <f t="shared" si="4"/>
        <v>0</v>
      </c>
      <c r="I35" s="957">
        <f t="shared" si="4"/>
        <v>0</v>
      </c>
      <c r="J35" s="957">
        <f t="shared" si="5"/>
        <v>0</v>
      </c>
      <c r="K35" s="957">
        <f t="shared" si="6"/>
        <v>0</v>
      </c>
      <c r="L35" s="957">
        <f t="shared" si="7"/>
        <v>0</v>
      </c>
      <c r="M35" s="957">
        <f t="shared" si="8"/>
        <v>0</v>
      </c>
      <c r="N35" s="957">
        <f t="shared" si="9"/>
        <v>0</v>
      </c>
      <c r="O35" s="957">
        <f t="shared" si="10"/>
        <v>0</v>
      </c>
      <c r="P35" s="957">
        <f t="shared" si="11"/>
        <v>0</v>
      </c>
      <c r="Q35" s="957">
        <f t="shared" si="12"/>
        <v>0</v>
      </c>
      <c r="R35" s="957">
        <f t="shared" si="13"/>
        <v>0</v>
      </c>
      <c r="S35" s="957">
        <f t="shared" si="14"/>
        <v>0</v>
      </c>
      <c r="T35" s="957">
        <f t="shared" si="15"/>
        <v>0</v>
      </c>
      <c r="U35" s="957">
        <f t="shared" si="16"/>
        <v>0</v>
      </c>
      <c r="V35" s="957">
        <f t="shared" si="17"/>
        <v>0</v>
      </c>
      <c r="W35" s="472">
        <f t="shared" si="18"/>
        <v>0</v>
      </c>
      <c r="X35" s="867">
        <f>'t1'!N35</f>
        <v>0</v>
      </c>
      <c r="AH35" s="211"/>
      <c r="AI35" s="211"/>
      <c r="AJ35" s="211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472">
        <f t="shared" si="19"/>
        <v>0</v>
      </c>
      <c r="BC35" s="867">
        <f>'t1'!AS35</f>
        <v>0</v>
      </c>
    </row>
    <row r="36" spans="1:55" ht="12.75" customHeight="1">
      <c r="A36" s="152" t="str">
        <f>'t1'!A36</f>
        <v>POSIZ. ECON. B5 PROFILI ACCESSO B1</v>
      </c>
      <c r="B36" s="224" t="str">
        <f>'t1'!B36</f>
        <v>037493</v>
      </c>
      <c r="C36" s="956">
        <f t="shared" si="20"/>
        <v>0</v>
      </c>
      <c r="D36" s="956">
        <f t="shared" si="0"/>
        <v>0</v>
      </c>
      <c r="E36" s="956">
        <f t="shared" si="1"/>
        <v>0</v>
      </c>
      <c r="F36" s="957">
        <f t="shared" si="2"/>
        <v>0</v>
      </c>
      <c r="G36" s="957">
        <f t="shared" si="3"/>
        <v>0</v>
      </c>
      <c r="H36" s="957">
        <f t="shared" si="4"/>
        <v>0</v>
      </c>
      <c r="I36" s="957">
        <f t="shared" si="4"/>
        <v>0</v>
      </c>
      <c r="J36" s="957">
        <f t="shared" si="5"/>
        <v>0</v>
      </c>
      <c r="K36" s="957">
        <f t="shared" si="6"/>
        <v>0</v>
      </c>
      <c r="L36" s="957">
        <f t="shared" si="7"/>
        <v>0</v>
      </c>
      <c r="M36" s="957">
        <f t="shared" si="8"/>
        <v>0</v>
      </c>
      <c r="N36" s="957">
        <f t="shared" si="9"/>
        <v>0</v>
      </c>
      <c r="O36" s="957">
        <f t="shared" si="10"/>
        <v>0</v>
      </c>
      <c r="P36" s="957">
        <f t="shared" si="11"/>
        <v>0</v>
      </c>
      <c r="Q36" s="957">
        <f t="shared" si="12"/>
        <v>0</v>
      </c>
      <c r="R36" s="957">
        <f t="shared" si="13"/>
        <v>0</v>
      </c>
      <c r="S36" s="957">
        <f t="shared" si="14"/>
        <v>0</v>
      </c>
      <c r="T36" s="957">
        <f t="shared" si="15"/>
        <v>0</v>
      </c>
      <c r="U36" s="957">
        <f t="shared" si="16"/>
        <v>0</v>
      </c>
      <c r="V36" s="957">
        <f t="shared" si="17"/>
        <v>0</v>
      </c>
      <c r="W36" s="472">
        <f t="shared" si="18"/>
        <v>0</v>
      </c>
      <c r="X36" s="867">
        <f>'t1'!N36</f>
        <v>0</v>
      </c>
      <c r="AH36" s="211"/>
      <c r="AI36" s="211"/>
      <c r="AJ36" s="211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472">
        <f t="shared" si="19"/>
        <v>0</v>
      </c>
      <c r="BC36" s="867">
        <f>'t1'!AS36</f>
        <v>0</v>
      </c>
    </row>
    <row r="37" spans="1:55" ht="12.75" customHeight="1">
      <c r="A37" s="152" t="str">
        <f>'t1'!A37</f>
        <v>POSIZ. ECON. B4 PROFILI ACCESSO B3</v>
      </c>
      <c r="B37" s="224" t="str">
        <f>'t1'!B37</f>
        <v>036494</v>
      </c>
      <c r="C37" s="956">
        <f t="shared" si="20"/>
        <v>0</v>
      </c>
      <c r="D37" s="956">
        <f t="shared" si="0"/>
        <v>0</v>
      </c>
      <c r="E37" s="956">
        <f t="shared" si="1"/>
        <v>0</v>
      </c>
      <c r="F37" s="957">
        <f t="shared" si="2"/>
        <v>0</v>
      </c>
      <c r="G37" s="957">
        <f t="shared" si="3"/>
        <v>0</v>
      </c>
      <c r="H37" s="957">
        <f t="shared" si="4"/>
        <v>0</v>
      </c>
      <c r="I37" s="957">
        <f t="shared" si="4"/>
        <v>0</v>
      </c>
      <c r="J37" s="957">
        <f t="shared" si="5"/>
        <v>0</v>
      </c>
      <c r="K37" s="957">
        <f t="shared" si="6"/>
        <v>0</v>
      </c>
      <c r="L37" s="957">
        <f t="shared" si="7"/>
        <v>0</v>
      </c>
      <c r="M37" s="957">
        <f t="shared" si="8"/>
        <v>0</v>
      </c>
      <c r="N37" s="957">
        <f t="shared" si="9"/>
        <v>0</v>
      </c>
      <c r="O37" s="957">
        <f t="shared" si="10"/>
        <v>0</v>
      </c>
      <c r="P37" s="957">
        <f t="shared" si="11"/>
        <v>0</v>
      </c>
      <c r="Q37" s="957">
        <f t="shared" si="12"/>
        <v>0</v>
      </c>
      <c r="R37" s="957">
        <f t="shared" si="13"/>
        <v>0</v>
      </c>
      <c r="S37" s="957">
        <f t="shared" si="14"/>
        <v>0</v>
      </c>
      <c r="T37" s="957">
        <f t="shared" si="15"/>
        <v>0</v>
      </c>
      <c r="U37" s="957">
        <f t="shared" si="16"/>
        <v>0</v>
      </c>
      <c r="V37" s="957">
        <f t="shared" si="17"/>
        <v>0</v>
      </c>
      <c r="W37" s="472">
        <f t="shared" si="18"/>
        <v>0</v>
      </c>
      <c r="X37" s="867">
        <f>'t1'!N37</f>
        <v>0</v>
      </c>
      <c r="AH37" s="211"/>
      <c r="AI37" s="211"/>
      <c r="AJ37" s="211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472">
        <f t="shared" si="19"/>
        <v>0</v>
      </c>
      <c r="BC37" s="867">
        <f>'t1'!AS37</f>
        <v>0</v>
      </c>
    </row>
    <row r="38" spans="1:55" ht="12.75" customHeight="1">
      <c r="A38" s="152" t="str">
        <f>'t1'!A38</f>
        <v>POSIZ. ECON. B4 PROFILI ACCESSO B1</v>
      </c>
      <c r="B38" s="224" t="str">
        <f>'t1'!B38</f>
        <v>036495</v>
      </c>
      <c r="C38" s="956">
        <f t="shared" si="20"/>
        <v>0</v>
      </c>
      <c r="D38" s="956">
        <f t="shared" si="0"/>
        <v>0</v>
      </c>
      <c r="E38" s="956">
        <f t="shared" si="1"/>
        <v>0</v>
      </c>
      <c r="F38" s="957">
        <f t="shared" si="2"/>
        <v>0</v>
      </c>
      <c r="G38" s="957">
        <f t="shared" si="3"/>
        <v>0</v>
      </c>
      <c r="H38" s="957">
        <f t="shared" si="4"/>
        <v>0</v>
      </c>
      <c r="I38" s="957">
        <f t="shared" si="4"/>
        <v>0</v>
      </c>
      <c r="J38" s="957">
        <f t="shared" si="5"/>
        <v>0</v>
      </c>
      <c r="K38" s="957">
        <f t="shared" si="6"/>
        <v>0</v>
      </c>
      <c r="L38" s="957">
        <f t="shared" si="7"/>
        <v>0</v>
      </c>
      <c r="M38" s="957">
        <f t="shared" si="8"/>
        <v>0</v>
      </c>
      <c r="N38" s="957">
        <f t="shared" si="9"/>
        <v>0</v>
      </c>
      <c r="O38" s="957">
        <f t="shared" si="10"/>
        <v>0</v>
      </c>
      <c r="P38" s="957">
        <f t="shared" si="11"/>
        <v>0</v>
      </c>
      <c r="Q38" s="957">
        <f t="shared" si="12"/>
        <v>0</v>
      </c>
      <c r="R38" s="957">
        <f t="shared" si="13"/>
        <v>0</v>
      </c>
      <c r="S38" s="957">
        <f t="shared" si="14"/>
        <v>0</v>
      </c>
      <c r="T38" s="957">
        <f t="shared" si="15"/>
        <v>0</v>
      </c>
      <c r="U38" s="957">
        <f t="shared" si="16"/>
        <v>0</v>
      </c>
      <c r="V38" s="957">
        <f t="shared" si="17"/>
        <v>0</v>
      </c>
      <c r="W38" s="472">
        <f t="shared" si="18"/>
        <v>0</v>
      </c>
      <c r="X38" s="867">
        <f>'t1'!N38</f>
        <v>0</v>
      </c>
      <c r="AH38" s="211"/>
      <c r="AI38" s="211"/>
      <c r="AJ38" s="211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472">
        <f t="shared" si="19"/>
        <v>0</v>
      </c>
      <c r="BC38" s="867">
        <f>'t1'!AS38</f>
        <v>0</v>
      </c>
    </row>
    <row r="39" spans="1:55" ht="12.75" customHeight="1">
      <c r="A39" s="152" t="str">
        <f>'t1'!A39</f>
        <v>POSIZIONE ECONOMICA DI ACCESSO B3</v>
      </c>
      <c r="B39" s="224" t="str">
        <f>'t1'!B39</f>
        <v>055000</v>
      </c>
      <c r="C39" s="956">
        <f t="shared" si="20"/>
        <v>0</v>
      </c>
      <c r="D39" s="956">
        <f t="shared" si="0"/>
        <v>0</v>
      </c>
      <c r="E39" s="956">
        <f t="shared" si="1"/>
        <v>0</v>
      </c>
      <c r="F39" s="957">
        <f t="shared" si="2"/>
        <v>0</v>
      </c>
      <c r="G39" s="957">
        <f t="shared" si="3"/>
        <v>0</v>
      </c>
      <c r="H39" s="957">
        <f t="shared" si="4"/>
        <v>0</v>
      </c>
      <c r="I39" s="957">
        <f t="shared" si="4"/>
        <v>0</v>
      </c>
      <c r="J39" s="957">
        <f t="shared" si="5"/>
        <v>0</v>
      </c>
      <c r="K39" s="957">
        <f t="shared" si="6"/>
        <v>0</v>
      </c>
      <c r="L39" s="957">
        <f t="shared" si="7"/>
        <v>0</v>
      </c>
      <c r="M39" s="957">
        <f t="shared" si="8"/>
        <v>0</v>
      </c>
      <c r="N39" s="957">
        <f t="shared" si="9"/>
        <v>0</v>
      </c>
      <c r="O39" s="957">
        <f t="shared" si="10"/>
        <v>0</v>
      </c>
      <c r="P39" s="957">
        <f t="shared" si="11"/>
        <v>0</v>
      </c>
      <c r="Q39" s="957">
        <f t="shared" si="12"/>
        <v>0</v>
      </c>
      <c r="R39" s="957">
        <f t="shared" si="13"/>
        <v>0</v>
      </c>
      <c r="S39" s="957">
        <f t="shared" si="14"/>
        <v>0</v>
      </c>
      <c r="T39" s="957">
        <f t="shared" si="15"/>
        <v>0</v>
      </c>
      <c r="U39" s="957">
        <f t="shared" si="16"/>
        <v>0</v>
      </c>
      <c r="V39" s="957">
        <f t="shared" si="17"/>
        <v>0</v>
      </c>
      <c r="W39" s="472">
        <f t="shared" si="18"/>
        <v>0</v>
      </c>
      <c r="X39" s="867">
        <f>'t1'!N39</f>
        <v>0</v>
      </c>
      <c r="AH39" s="211"/>
      <c r="AI39" s="211"/>
      <c r="AJ39" s="211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472">
        <f t="shared" si="19"/>
        <v>0</v>
      </c>
      <c r="BC39" s="867">
        <f>'t1'!AS39</f>
        <v>0</v>
      </c>
    </row>
    <row r="40" spans="1:55" ht="12.75" customHeight="1">
      <c r="A40" s="152" t="str">
        <f>'t1'!A40</f>
        <v>POSIZIONE ECONOMICA B3</v>
      </c>
      <c r="B40" s="224" t="str">
        <f>'t1'!B40</f>
        <v>034000</v>
      </c>
      <c r="C40" s="956">
        <f t="shared" si="20"/>
        <v>0</v>
      </c>
      <c r="D40" s="956">
        <f t="shared" si="0"/>
        <v>0</v>
      </c>
      <c r="E40" s="956">
        <f t="shared" si="1"/>
        <v>0</v>
      </c>
      <c r="F40" s="957">
        <f t="shared" si="2"/>
        <v>0</v>
      </c>
      <c r="G40" s="957">
        <f t="shared" si="3"/>
        <v>0</v>
      </c>
      <c r="H40" s="957">
        <f t="shared" si="4"/>
        <v>0</v>
      </c>
      <c r="I40" s="957">
        <f t="shared" si="4"/>
        <v>0</v>
      </c>
      <c r="J40" s="957">
        <f t="shared" si="5"/>
        <v>0</v>
      </c>
      <c r="K40" s="957">
        <f t="shared" si="6"/>
        <v>0</v>
      </c>
      <c r="L40" s="957">
        <f t="shared" si="7"/>
        <v>0</v>
      </c>
      <c r="M40" s="957">
        <f t="shared" si="8"/>
        <v>0</v>
      </c>
      <c r="N40" s="957">
        <f t="shared" si="9"/>
        <v>0</v>
      </c>
      <c r="O40" s="957">
        <f t="shared" si="10"/>
        <v>0</v>
      </c>
      <c r="P40" s="957">
        <f t="shared" si="11"/>
        <v>0</v>
      </c>
      <c r="Q40" s="957">
        <f t="shared" si="12"/>
        <v>0</v>
      </c>
      <c r="R40" s="957">
        <f t="shared" si="13"/>
        <v>0</v>
      </c>
      <c r="S40" s="957">
        <f t="shared" si="14"/>
        <v>0</v>
      </c>
      <c r="T40" s="957">
        <f t="shared" si="15"/>
        <v>0</v>
      </c>
      <c r="U40" s="957">
        <f t="shared" si="16"/>
        <v>0</v>
      </c>
      <c r="V40" s="957">
        <f t="shared" si="17"/>
        <v>0</v>
      </c>
      <c r="W40" s="472">
        <f t="shared" si="18"/>
        <v>0</v>
      </c>
      <c r="X40" s="867">
        <f>'t1'!N40</f>
        <v>0</v>
      </c>
      <c r="AH40" s="211"/>
      <c r="AI40" s="211"/>
      <c r="AJ40" s="211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472">
        <f t="shared" si="19"/>
        <v>0</v>
      </c>
      <c r="BC40" s="867">
        <f>'t1'!AS40</f>
        <v>0</v>
      </c>
    </row>
    <row r="41" spans="1:55" ht="12.75" customHeight="1">
      <c r="A41" s="152" t="str">
        <f>'t1'!A41</f>
        <v>POSIZIONE ECONOMICA B2</v>
      </c>
      <c r="B41" s="224" t="str">
        <f>'t1'!B41</f>
        <v>032000</v>
      </c>
      <c r="C41" s="956">
        <f t="shared" si="20"/>
        <v>0</v>
      </c>
      <c r="D41" s="956">
        <f t="shared" si="0"/>
        <v>0</v>
      </c>
      <c r="E41" s="956">
        <f t="shared" si="1"/>
        <v>0</v>
      </c>
      <c r="F41" s="957">
        <f t="shared" si="2"/>
        <v>0</v>
      </c>
      <c r="G41" s="957">
        <f t="shared" si="3"/>
        <v>0</v>
      </c>
      <c r="H41" s="957">
        <f t="shared" si="4"/>
        <v>0</v>
      </c>
      <c r="I41" s="957">
        <f t="shared" si="4"/>
        <v>0</v>
      </c>
      <c r="J41" s="957">
        <f t="shared" si="5"/>
        <v>0</v>
      </c>
      <c r="K41" s="957">
        <f t="shared" si="6"/>
        <v>0</v>
      </c>
      <c r="L41" s="957">
        <f t="shared" si="7"/>
        <v>0</v>
      </c>
      <c r="M41" s="957">
        <f t="shared" si="8"/>
        <v>0</v>
      </c>
      <c r="N41" s="957">
        <f t="shared" si="9"/>
        <v>0</v>
      </c>
      <c r="O41" s="957">
        <f t="shared" si="10"/>
        <v>0</v>
      </c>
      <c r="P41" s="957">
        <f t="shared" si="11"/>
        <v>0</v>
      </c>
      <c r="Q41" s="957">
        <f t="shared" si="12"/>
        <v>0</v>
      </c>
      <c r="R41" s="957">
        <f t="shared" si="13"/>
        <v>0</v>
      </c>
      <c r="S41" s="957">
        <f t="shared" si="14"/>
        <v>0</v>
      </c>
      <c r="T41" s="957">
        <f t="shared" si="15"/>
        <v>0</v>
      </c>
      <c r="U41" s="957">
        <f t="shared" si="16"/>
        <v>0</v>
      </c>
      <c r="V41" s="957">
        <f t="shared" si="17"/>
        <v>0</v>
      </c>
      <c r="W41" s="472">
        <f t="shared" si="18"/>
        <v>0</v>
      </c>
      <c r="X41" s="867">
        <f>'t1'!N41</f>
        <v>0</v>
      </c>
      <c r="AH41" s="211"/>
      <c r="AI41" s="211"/>
      <c r="AJ41" s="211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472">
        <f t="shared" si="19"/>
        <v>0</v>
      </c>
      <c r="BC41" s="867">
        <f>'t1'!AS41</f>
        <v>0</v>
      </c>
    </row>
    <row r="42" spans="1:55" ht="12.75" customHeight="1">
      <c r="A42" s="152" t="str">
        <f>'t1'!A42</f>
        <v>POSIZIONE ECONOMICA DI ACCESSO B1</v>
      </c>
      <c r="B42" s="224" t="str">
        <f>'t1'!B42</f>
        <v>054000</v>
      </c>
      <c r="C42" s="956">
        <f t="shared" si="20"/>
        <v>0</v>
      </c>
      <c r="D42" s="956">
        <f t="shared" si="0"/>
        <v>0</v>
      </c>
      <c r="E42" s="956">
        <f t="shared" si="1"/>
        <v>0</v>
      </c>
      <c r="F42" s="957">
        <f t="shared" si="2"/>
        <v>0</v>
      </c>
      <c r="G42" s="957">
        <f t="shared" si="3"/>
        <v>0</v>
      </c>
      <c r="H42" s="957">
        <f t="shared" si="4"/>
        <v>0</v>
      </c>
      <c r="I42" s="957">
        <f t="shared" si="4"/>
        <v>0</v>
      </c>
      <c r="J42" s="957">
        <f t="shared" si="5"/>
        <v>0</v>
      </c>
      <c r="K42" s="957">
        <f t="shared" si="6"/>
        <v>0</v>
      </c>
      <c r="L42" s="957">
        <f t="shared" si="7"/>
        <v>0</v>
      </c>
      <c r="M42" s="957">
        <f t="shared" si="8"/>
        <v>0</v>
      </c>
      <c r="N42" s="957">
        <f t="shared" si="9"/>
        <v>0</v>
      </c>
      <c r="O42" s="957">
        <f t="shared" si="10"/>
        <v>0</v>
      </c>
      <c r="P42" s="957">
        <f t="shared" si="11"/>
        <v>0</v>
      </c>
      <c r="Q42" s="957">
        <f t="shared" si="12"/>
        <v>0</v>
      </c>
      <c r="R42" s="957">
        <f t="shared" si="13"/>
        <v>0</v>
      </c>
      <c r="S42" s="957">
        <f t="shared" si="14"/>
        <v>0</v>
      </c>
      <c r="T42" s="957">
        <f t="shared" si="15"/>
        <v>0</v>
      </c>
      <c r="U42" s="957">
        <f t="shared" si="16"/>
        <v>0</v>
      </c>
      <c r="V42" s="957">
        <f t="shared" si="17"/>
        <v>0</v>
      </c>
      <c r="W42" s="472">
        <f t="shared" si="18"/>
        <v>0</v>
      </c>
      <c r="X42" s="867">
        <f>'t1'!N42</f>
        <v>0</v>
      </c>
      <c r="AH42" s="211"/>
      <c r="AI42" s="211"/>
      <c r="AJ42" s="211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472">
        <f t="shared" si="19"/>
        <v>0</v>
      </c>
      <c r="BC42" s="867">
        <f>'t1'!AS42</f>
        <v>0</v>
      </c>
    </row>
    <row r="43" spans="1:55" ht="12.75" customHeight="1">
      <c r="A43" s="152" t="str">
        <f>'t1'!A43</f>
        <v>POSIZIONE ECONOMICA A5</v>
      </c>
      <c r="B43" s="224" t="str">
        <f>'t1'!B43</f>
        <v>0A5000</v>
      </c>
      <c r="C43" s="956">
        <f t="shared" si="20"/>
        <v>0</v>
      </c>
      <c r="D43" s="956">
        <f t="shared" si="0"/>
        <v>0</v>
      </c>
      <c r="E43" s="956">
        <f t="shared" si="1"/>
        <v>0</v>
      </c>
      <c r="F43" s="957">
        <f t="shared" si="2"/>
        <v>0</v>
      </c>
      <c r="G43" s="957">
        <f t="shared" si="3"/>
        <v>0</v>
      </c>
      <c r="H43" s="957">
        <f t="shared" si="4"/>
        <v>0</v>
      </c>
      <c r="I43" s="957">
        <f t="shared" si="4"/>
        <v>0</v>
      </c>
      <c r="J43" s="957">
        <f t="shared" si="5"/>
        <v>0</v>
      </c>
      <c r="K43" s="957">
        <f t="shared" si="6"/>
        <v>0</v>
      </c>
      <c r="L43" s="957">
        <f t="shared" si="7"/>
        <v>0</v>
      </c>
      <c r="M43" s="957">
        <f t="shared" si="8"/>
        <v>0</v>
      </c>
      <c r="N43" s="957">
        <f t="shared" si="9"/>
        <v>0</v>
      </c>
      <c r="O43" s="957">
        <f t="shared" si="10"/>
        <v>0</v>
      </c>
      <c r="P43" s="957">
        <f t="shared" si="11"/>
        <v>0</v>
      </c>
      <c r="Q43" s="957">
        <f t="shared" si="12"/>
        <v>0</v>
      </c>
      <c r="R43" s="957">
        <f t="shared" si="13"/>
        <v>0</v>
      </c>
      <c r="S43" s="957">
        <f t="shared" si="14"/>
        <v>0</v>
      </c>
      <c r="T43" s="957">
        <f t="shared" si="15"/>
        <v>0</v>
      </c>
      <c r="U43" s="957">
        <f t="shared" si="16"/>
        <v>0</v>
      </c>
      <c r="V43" s="957">
        <f t="shared" si="17"/>
        <v>0</v>
      </c>
      <c r="W43" s="472">
        <f t="shared" si="18"/>
        <v>0</v>
      </c>
      <c r="X43" s="867">
        <f>'t1'!N43</f>
        <v>0</v>
      </c>
      <c r="AH43" s="211"/>
      <c r="AI43" s="211"/>
      <c r="AJ43" s="211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472">
        <f t="shared" si="19"/>
        <v>0</v>
      </c>
      <c r="BC43" s="867">
        <f>'t1'!AS43</f>
        <v>0</v>
      </c>
    </row>
    <row r="44" spans="1:55" ht="12.75" customHeight="1">
      <c r="A44" s="152" t="str">
        <f>'t1'!A44</f>
        <v>POSIZIONE ECONOMICA A4</v>
      </c>
      <c r="B44" s="224" t="str">
        <f>'t1'!B44</f>
        <v>028000</v>
      </c>
      <c r="C44" s="956">
        <f t="shared" si="20"/>
        <v>0</v>
      </c>
      <c r="D44" s="956">
        <f t="shared" si="0"/>
        <v>0</v>
      </c>
      <c r="E44" s="956">
        <f t="shared" si="1"/>
        <v>0</v>
      </c>
      <c r="F44" s="957">
        <f t="shared" si="2"/>
        <v>0</v>
      </c>
      <c r="G44" s="957">
        <f t="shared" si="3"/>
        <v>0</v>
      </c>
      <c r="H44" s="957">
        <f t="shared" si="4"/>
        <v>0</v>
      </c>
      <c r="I44" s="957">
        <f t="shared" si="4"/>
        <v>0</v>
      </c>
      <c r="J44" s="957">
        <f t="shared" si="5"/>
        <v>0</v>
      </c>
      <c r="K44" s="957">
        <f t="shared" si="6"/>
        <v>0</v>
      </c>
      <c r="L44" s="957">
        <f t="shared" si="7"/>
        <v>0</v>
      </c>
      <c r="M44" s="957">
        <f t="shared" si="8"/>
        <v>0</v>
      </c>
      <c r="N44" s="957">
        <f t="shared" si="9"/>
        <v>0</v>
      </c>
      <c r="O44" s="957">
        <f t="shared" si="10"/>
        <v>0</v>
      </c>
      <c r="P44" s="957">
        <f t="shared" si="11"/>
        <v>0</v>
      </c>
      <c r="Q44" s="957">
        <f t="shared" si="12"/>
        <v>0</v>
      </c>
      <c r="R44" s="957">
        <f t="shared" si="13"/>
        <v>0</v>
      </c>
      <c r="S44" s="957">
        <f t="shared" si="14"/>
        <v>0</v>
      </c>
      <c r="T44" s="957">
        <f t="shared" si="15"/>
        <v>0</v>
      </c>
      <c r="U44" s="957">
        <f t="shared" si="16"/>
        <v>0</v>
      </c>
      <c r="V44" s="957">
        <f t="shared" si="17"/>
        <v>0</v>
      </c>
      <c r="W44" s="472">
        <f t="shared" si="18"/>
        <v>0</v>
      </c>
      <c r="X44" s="867">
        <f>'t1'!N44</f>
        <v>0</v>
      </c>
      <c r="AH44" s="211"/>
      <c r="AI44" s="211"/>
      <c r="AJ44" s="211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472">
        <f t="shared" si="19"/>
        <v>0</v>
      </c>
      <c r="BC44" s="867">
        <f>'t1'!AS44</f>
        <v>0</v>
      </c>
    </row>
    <row r="45" spans="1:55" ht="12.75" customHeight="1">
      <c r="A45" s="152" t="str">
        <f>'t1'!A45</f>
        <v>POSIZIONE ECONOMICA A3</v>
      </c>
      <c r="B45" s="224" t="str">
        <f>'t1'!B45</f>
        <v>027000</v>
      </c>
      <c r="C45" s="956">
        <f t="shared" si="20"/>
        <v>0</v>
      </c>
      <c r="D45" s="956">
        <f t="shared" si="0"/>
        <v>0</v>
      </c>
      <c r="E45" s="956">
        <f t="shared" si="1"/>
        <v>0</v>
      </c>
      <c r="F45" s="957">
        <f t="shared" si="2"/>
        <v>0</v>
      </c>
      <c r="G45" s="957">
        <f t="shared" si="3"/>
        <v>0</v>
      </c>
      <c r="H45" s="957">
        <f t="shared" si="4"/>
        <v>0</v>
      </c>
      <c r="I45" s="957">
        <f t="shared" si="4"/>
        <v>0</v>
      </c>
      <c r="J45" s="957">
        <f t="shared" si="5"/>
        <v>0</v>
      </c>
      <c r="K45" s="957">
        <f t="shared" si="6"/>
        <v>0</v>
      </c>
      <c r="L45" s="957">
        <f t="shared" si="7"/>
        <v>0</v>
      </c>
      <c r="M45" s="957">
        <f t="shared" si="8"/>
        <v>0</v>
      </c>
      <c r="N45" s="957">
        <f t="shared" si="9"/>
        <v>0</v>
      </c>
      <c r="O45" s="957">
        <f t="shared" si="10"/>
        <v>0</v>
      </c>
      <c r="P45" s="957">
        <f t="shared" si="11"/>
        <v>0</v>
      </c>
      <c r="Q45" s="957">
        <f t="shared" si="12"/>
        <v>0</v>
      </c>
      <c r="R45" s="957">
        <f t="shared" si="13"/>
        <v>0</v>
      </c>
      <c r="S45" s="957">
        <f t="shared" si="14"/>
        <v>0</v>
      </c>
      <c r="T45" s="957">
        <f t="shared" si="15"/>
        <v>0</v>
      </c>
      <c r="U45" s="957">
        <f t="shared" si="16"/>
        <v>0</v>
      </c>
      <c r="V45" s="957">
        <f t="shared" si="17"/>
        <v>0</v>
      </c>
      <c r="W45" s="472">
        <f t="shared" si="18"/>
        <v>0</v>
      </c>
      <c r="X45" s="867">
        <f>'t1'!N45</f>
        <v>0</v>
      </c>
      <c r="AH45" s="211"/>
      <c r="AI45" s="211"/>
      <c r="AJ45" s="211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472">
        <f t="shared" si="19"/>
        <v>0</v>
      </c>
      <c r="BC45" s="867">
        <f>'t1'!AS45</f>
        <v>0</v>
      </c>
    </row>
    <row r="46" spans="1:55" ht="12.75" customHeight="1">
      <c r="A46" s="152" t="str">
        <f>'t1'!A46</f>
        <v>POSIZIONE ECONOMICA A2</v>
      </c>
      <c r="B46" s="224" t="str">
        <f>'t1'!B46</f>
        <v>025000</v>
      </c>
      <c r="C46" s="956">
        <f t="shared" si="20"/>
        <v>0</v>
      </c>
      <c r="D46" s="956">
        <f t="shared" si="0"/>
        <v>0</v>
      </c>
      <c r="E46" s="956">
        <f t="shared" si="1"/>
        <v>0</v>
      </c>
      <c r="F46" s="957">
        <f t="shared" si="2"/>
        <v>0</v>
      </c>
      <c r="G46" s="957">
        <f t="shared" si="3"/>
        <v>0</v>
      </c>
      <c r="H46" s="957">
        <f t="shared" si="4"/>
        <v>0</v>
      </c>
      <c r="I46" s="957">
        <f t="shared" si="4"/>
        <v>0</v>
      </c>
      <c r="J46" s="957">
        <f t="shared" si="5"/>
        <v>0</v>
      </c>
      <c r="K46" s="957">
        <f t="shared" si="6"/>
        <v>0</v>
      </c>
      <c r="L46" s="957">
        <f t="shared" si="7"/>
        <v>0</v>
      </c>
      <c r="M46" s="957">
        <f t="shared" si="8"/>
        <v>0</v>
      </c>
      <c r="N46" s="957">
        <f t="shared" si="9"/>
        <v>0</v>
      </c>
      <c r="O46" s="957">
        <f t="shared" si="10"/>
        <v>0</v>
      </c>
      <c r="P46" s="957">
        <f t="shared" si="11"/>
        <v>0</v>
      </c>
      <c r="Q46" s="957">
        <f t="shared" si="12"/>
        <v>0</v>
      </c>
      <c r="R46" s="957">
        <f t="shared" si="13"/>
        <v>0</v>
      </c>
      <c r="S46" s="957">
        <f t="shared" si="14"/>
        <v>0</v>
      </c>
      <c r="T46" s="957">
        <f t="shared" si="15"/>
        <v>0</v>
      </c>
      <c r="U46" s="957">
        <f t="shared" si="16"/>
        <v>0</v>
      </c>
      <c r="V46" s="957">
        <f t="shared" si="17"/>
        <v>0</v>
      </c>
      <c r="W46" s="472">
        <f t="shared" si="18"/>
        <v>0</v>
      </c>
      <c r="X46" s="867">
        <f>'t1'!N46</f>
        <v>0</v>
      </c>
      <c r="AH46" s="211"/>
      <c r="AI46" s="211"/>
      <c r="AJ46" s="211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472">
        <f t="shared" si="19"/>
        <v>0</v>
      </c>
      <c r="BC46" s="867">
        <f>'t1'!AS46</f>
        <v>0</v>
      </c>
    </row>
    <row r="47" spans="1:55" ht="12.75" customHeight="1">
      <c r="A47" s="152" t="str">
        <f>'t1'!A47</f>
        <v>POSIZIONE ECONOMICA DI ACCESSO A1</v>
      </c>
      <c r="B47" s="224" t="str">
        <f>'t1'!B47</f>
        <v>053000</v>
      </c>
      <c r="C47" s="956">
        <f t="shared" si="20"/>
        <v>0</v>
      </c>
      <c r="D47" s="956">
        <f t="shared" si="0"/>
        <v>0</v>
      </c>
      <c r="E47" s="956">
        <f t="shared" si="1"/>
        <v>0</v>
      </c>
      <c r="F47" s="957">
        <f t="shared" si="2"/>
        <v>0</v>
      </c>
      <c r="G47" s="957">
        <f t="shared" si="3"/>
        <v>0</v>
      </c>
      <c r="H47" s="957">
        <f t="shared" si="4"/>
        <v>0</v>
      </c>
      <c r="I47" s="957">
        <f t="shared" si="4"/>
        <v>0</v>
      </c>
      <c r="J47" s="957">
        <f t="shared" si="5"/>
        <v>0</v>
      </c>
      <c r="K47" s="957">
        <f t="shared" si="6"/>
        <v>0</v>
      </c>
      <c r="L47" s="957">
        <f t="shared" si="7"/>
        <v>0</v>
      </c>
      <c r="M47" s="957">
        <f t="shared" si="8"/>
        <v>0</v>
      </c>
      <c r="N47" s="957">
        <f t="shared" si="9"/>
        <v>0</v>
      </c>
      <c r="O47" s="957">
        <f t="shared" si="10"/>
        <v>0</v>
      </c>
      <c r="P47" s="957">
        <f t="shared" si="11"/>
        <v>0</v>
      </c>
      <c r="Q47" s="957">
        <f t="shared" si="12"/>
        <v>0</v>
      </c>
      <c r="R47" s="957">
        <f t="shared" si="13"/>
        <v>0</v>
      </c>
      <c r="S47" s="957">
        <f t="shared" si="14"/>
        <v>0</v>
      </c>
      <c r="T47" s="957">
        <f t="shared" si="15"/>
        <v>0</v>
      </c>
      <c r="U47" s="957">
        <f t="shared" si="16"/>
        <v>0</v>
      </c>
      <c r="V47" s="957">
        <f t="shared" si="17"/>
        <v>0</v>
      </c>
      <c r="W47" s="472">
        <f t="shared" si="18"/>
        <v>0</v>
      </c>
      <c r="X47" s="867">
        <f>'t1'!N47</f>
        <v>0</v>
      </c>
      <c r="AH47" s="211"/>
      <c r="AI47" s="211"/>
      <c r="AJ47" s="211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472">
        <f t="shared" si="19"/>
        <v>0</v>
      </c>
      <c r="BC47" s="867">
        <f>'t1'!AS47</f>
        <v>0</v>
      </c>
    </row>
    <row r="48" spans="1:55" ht="12.75" customHeight="1">
      <c r="A48" s="152" t="str">
        <f>'t1'!A48</f>
        <v>CONTRATTISTI (a)</v>
      </c>
      <c r="B48" s="224" t="str">
        <f>'t1'!B48</f>
        <v>000061</v>
      </c>
      <c r="C48" s="956">
        <f t="shared" si="20"/>
        <v>0</v>
      </c>
      <c r="D48" s="956">
        <f t="shared" si="0"/>
        <v>0</v>
      </c>
      <c r="E48" s="956">
        <f t="shared" si="1"/>
        <v>0</v>
      </c>
      <c r="F48" s="957">
        <f t="shared" si="2"/>
        <v>0</v>
      </c>
      <c r="G48" s="957">
        <f t="shared" si="3"/>
        <v>0</v>
      </c>
      <c r="H48" s="957">
        <f t="shared" si="4"/>
        <v>0</v>
      </c>
      <c r="I48" s="957">
        <f t="shared" si="4"/>
        <v>0</v>
      </c>
      <c r="J48" s="957">
        <f t="shared" si="5"/>
        <v>0</v>
      </c>
      <c r="K48" s="957">
        <f t="shared" si="6"/>
        <v>0</v>
      </c>
      <c r="L48" s="957">
        <f t="shared" si="7"/>
        <v>0</v>
      </c>
      <c r="M48" s="957">
        <f t="shared" si="8"/>
        <v>0</v>
      </c>
      <c r="N48" s="957">
        <f t="shared" si="9"/>
        <v>0</v>
      </c>
      <c r="O48" s="957">
        <f t="shared" si="10"/>
        <v>0</v>
      </c>
      <c r="P48" s="957">
        <f t="shared" si="11"/>
        <v>0</v>
      </c>
      <c r="Q48" s="957">
        <f t="shared" si="12"/>
        <v>0</v>
      </c>
      <c r="R48" s="957">
        <f t="shared" si="13"/>
        <v>0</v>
      </c>
      <c r="S48" s="957">
        <f t="shared" si="14"/>
        <v>0</v>
      </c>
      <c r="T48" s="957">
        <f t="shared" si="15"/>
        <v>0</v>
      </c>
      <c r="U48" s="957">
        <f t="shared" si="16"/>
        <v>0</v>
      </c>
      <c r="V48" s="957">
        <f t="shared" si="17"/>
        <v>0</v>
      </c>
      <c r="W48" s="472">
        <f t="shared" si="18"/>
        <v>0</v>
      </c>
      <c r="X48" s="867">
        <f>'t1'!N48</f>
        <v>0</v>
      </c>
      <c r="AH48" s="211"/>
      <c r="AI48" s="211"/>
      <c r="AJ48" s="211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472">
        <f t="shared" si="19"/>
        <v>0</v>
      </c>
      <c r="BC48" s="867">
        <f>'t1'!AS48</f>
        <v>0</v>
      </c>
    </row>
    <row r="49" spans="1:57" ht="12.75" customHeight="1" thickBot="1">
      <c r="A49" s="152" t="str">
        <f>'t1'!A49</f>
        <v>COLLABORATORE A T.D. ART. 90 TUEL (b)</v>
      </c>
      <c r="B49" s="224" t="str">
        <f>'t1'!B49</f>
        <v>000096</v>
      </c>
      <c r="C49" s="956">
        <f t="shared" si="20"/>
        <v>0</v>
      </c>
      <c r="D49" s="956">
        <f t="shared" si="0"/>
        <v>0</v>
      </c>
      <c r="E49" s="956">
        <f t="shared" si="1"/>
        <v>0</v>
      </c>
      <c r="F49" s="957">
        <f t="shared" si="2"/>
        <v>0</v>
      </c>
      <c r="G49" s="957">
        <f t="shared" si="3"/>
        <v>0</v>
      </c>
      <c r="H49" s="957">
        <f t="shared" si="4"/>
        <v>0</v>
      </c>
      <c r="I49" s="957">
        <f t="shared" si="4"/>
        <v>0</v>
      </c>
      <c r="J49" s="957">
        <f t="shared" si="5"/>
        <v>0</v>
      </c>
      <c r="K49" s="957">
        <f t="shared" si="6"/>
        <v>0</v>
      </c>
      <c r="L49" s="957">
        <f t="shared" si="7"/>
        <v>0</v>
      </c>
      <c r="M49" s="957">
        <f t="shared" si="8"/>
        <v>0</v>
      </c>
      <c r="N49" s="957">
        <f t="shared" si="9"/>
        <v>0</v>
      </c>
      <c r="O49" s="957">
        <f t="shared" si="10"/>
        <v>0</v>
      </c>
      <c r="P49" s="957">
        <f t="shared" si="11"/>
        <v>0</v>
      </c>
      <c r="Q49" s="957">
        <f t="shared" si="12"/>
        <v>0</v>
      </c>
      <c r="R49" s="957">
        <f t="shared" si="13"/>
        <v>0</v>
      </c>
      <c r="S49" s="957">
        <f t="shared" si="14"/>
        <v>0</v>
      </c>
      <c r="T49" s="957">
        <f t="shared" si="15"/>
        <v>0</v>
      </c>
      <c r="U49" s="957">
        <f t="shared" si="16"/>
        <v>0</v>
      </c>
      <c r="V49" s="957">
        <f t="shared" si="17"/>
        <v>0</v>
      </c>
      <c r="W49" s="472">
        <f t="shared" si="18"/>
        <v>0</v>
      </c>
      <c r="X49" s="867">
        <f>'t1'!N49</f>
        <v>0</v>
      </c>
      <c r="AH49" s="211"/>
      <c r="AI49" s="211"/>
      <c r="AJ49" s="211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472">
        <f t="shared" si="19"/>
        <v>0</v>
      </c>
      <c r="BC49" s="867">
        <f>'t1'!AS49</f>
        <v>0</v>
      </c>
    </row>
    <row r="50" spans="1:57" ht="15" customHeight="1" thickTop="1" thickBot="1">
      <c r="A50" s="162" t="s">
        <v>107</v>
      </c>
      <c r="B50" s="124"/>
      <c r="C50" s="471">
        <f t="shared" ref="C50:W50" si="21">SUM(C6:C49)</f>
        <v>451</v>
      </c>
      <c r="D50" s="471">
        <f t="shared" si="21"/>
        <v>1104</v>
      </c>
      <c r="E50" s="471">
        <f t="shared" si="21"/>
        <v>0</v>
      </c>
      <c r="F50" s="471">
        <f t="shared" si="21"/>
        <v>4431</v>
      </c>
      <c r="G50" s="471">
        <f t="shared" si="21"/>
        <v>2048</v>
      </c>
      <c r="H50" s="471">
        <f t="shared" si="21"/>
        <v>1674</v>
      </c>
      <c r="I50" s="471">
        <f>SUM(I6:I49)</f>
        <v>0</v>
      </c>
      <c r="J50" s="471">
        <f t="shared" si="21"/>
        <v>0</v>
      </c>
      <c r="K50" s="471">
        <f t="shared" si="21"/>
        <v>0</v>
      </c>
      <c r="L50" s="471">
        <f t="shared" si="21"/>
        <v>0</v>
      </c>
      <c r="M50" s="471">
        <f t="shared" si="21"/>
        <v>0</v>
      </c>
      <c r="N50" s="471">
        <f t="shared" si="21"/>
        <v>0</v>
      </c>
      <c r="O50" s="471">
        <f t="shared" si="21"/>
        <v>0</v>
      </c>
      <c r="P50" s="471">
        <f t="shared" si="21"/>
        <v>0</v>
      </c>
      <c r="Q50" s="471">
        <f t="shared" si="21"/>
        <v>4220</v>
      </c>
      <c r="R50" s="471">
        <f t="shared" si="21"/>
        <v>0</v>
      </c>
      <c r="S50" s="471">
        <f t="shared" si="21"/>
        <v>0</v>
      </c>
      <c r="T50" s="471">
        <f t="shared" si="21"/>
        <v>0</v>
      </c>
      <c r="U50" s="471">
        <f t="shared" si="21"/>
        <v>0</v>
      </c>
      <c r="V50" s="471">
        <f t="shared" si="21"/>
        <v>464</v>
      </c>
      <c r="W50" s="469">
        <f t="shared" si="21"/>
        <v>14392</v>
      </c>
      <c r="X50" s="867"/>
      <c r="AH50" s="471">
        <f t="shared" ref="AH50:BB50" si="22">SUM(AH6:AH49)</f>
        <v>451</v>
      </c>
      <c r="AI50" s="471">
        <f t="shared" si="22"/>
        <v>1104</v>
      </c>
      <c r="AJ50" s="471">
        <f t="shared" si="22"/>
        <v>0</v>
      </c>
      <c r="AK50" s="471">
        <f t="shared" si="22"/>
        <v>4431</v>
      </c>
      <c r="AL50" s="471">
        <f t="shared" si="22"/>
        <v>2048</v>
      </c>
      <c r="AM50" s="471">
        <f t="shared" si="22"/>
        <v>1674</v>
      </c>
      <c r="AN50" s="471">
        <f t="shared" si="22"/>
        <v>0</v>
      </c>
      <c r="AO50" s="471">
        <f t="shared" si="22"/>
        <v>0</v>
      </c>
      <c r="AP50" s="471">
        <f t="shared" si="22"/>
        <v>0</v>
      </c>
      <c r="AQ50" s="471">
        <f t="shared" si="22"/>
        <v>0</v>
      </c>
      <c r="AR50" s="471">
        <f t="shared" si="22"/>
        <v>0</v>
      </c>
      <c r="AS50" s="471">
        <f t="shared" si="22"/>
        <v>0</v>
      </c>
      <c r="AT50" s="471">
        <f t="shared" si="22"/>
        <v>0</v>
      </c>
      <c r="AU50" s="471">
        <f t="shared" si="22"/>
        <v>0</v>
      </c>
      <c r="AV50" s="471">
        <f t="shared" si="22"/>
        <v>4220</v>
      </c>
      <c r="AW50" s="471">
        <f t="shared" si="22"/>
        <v>0</v>
      </c>
      <c r="AX50" s="471">
        <f t="shared" si="22"/>
        <v>0</v>
      </c>
      <c r="AY50" s="471">
        <f t="shared" si="22"/>
        <v>0</v>
      </c>
      <c r="AZ50" s="471">
        <f t="shared" si="22"/>
        <v>0</v>
      </c>
      <c r="BA50" s="471">
        <f t="shared" si="22"/>
        <v>464</v>
      </c>
      <c r="BB50" s="469">
        <f t="shared" si="22"/>
        <v>14392</v>
      </c>
      <c r="BC50" s="867"/>
    </row>
    <row r="51" spans="1:57">
      <c r="A51" s="25" t="str">
        <f>'t1'!$A$201</f>
        <v>(a) personale a tempo indeterminato al quale viene applicato un contratto di lavoro di tipo privatistico (es.:tipografico,chimico,edile,metalmeccanico,portierato, ecc.)</v>
      </c>
      <c r="W51" s="45"/>
      <c r="X51" s="45"/>
      <c r="Y51" s="45"/>
      <c r="Z51" s="45"/>
      <c r="AA51" s="45"/>
      <c r="BB51" s="45"/>
      <c r="BC51" s="45"/>
      <c r="BD51" s="45"/>
      <c r="BE51" s="45"/>
    </row>
    <row r="52" spans="1:57">
      <c r="A52" s="25" t="str">
        <f>'t1'!$A$202</f>
        <v>(b) cfr." istruzioni generali e specifiche di comparto" e "glossario"</v>
      </c>
    </row>
    <row r="53" spans="1:57">
      <c r="A53" s="5" t="s">
        <v>218</v>
      </c>
      <c r="B53" s="62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</row>
    <row r="54" spans="1:57">
      <c r="A54" s="154"/>
    </row>
    <row r="55" spans="1:57">
      <c r="A55" s="154"/>
    </row>
    <row r="56" spans="1:57">
      <c r="A56" s="3"/>
    </row>
  </sheetData>
  <sheetProtection password="EA98" sheet="1" formatColumns="0" selectLockedCells="1"/>
  <phoneticPr fontId="30" type="noConversion"/>
  <conditionalFormatting sqref="A6:W49 AH6:BB49">
    <cfRule type="expression" dxfId="2" priority="1" stopIfTrue="1">
      <formula>$X6&gt;0</formula>
    </cfRule>
  </conditionalFormatting>
  <dataValidations count="1">
    <dataValidation type="whole" allowBlank="1" showInputMessage="1" showErrorMessage="1" errorTitle="ERRORE NEL DATO IMMESSO" error="INSERIRE SOLO NUMERI INTERI" sqref="AH6:BA49">
      <formula1>1</formula1>
      <formula2>999999999999</formula2>
    </dataValidation>
  </dataValidations>
  <printOptions horizontalCentered="1" verticalCentered="1"/>
  <pageMargins left="0" right="0" top="0.15748031496062992" bottom="0.15748031496062992" header="0.19685039370078741" footer="0.19685039370078741"/>
  <pageSetup paperSize="9" scale="60" orientation="landscape" horizontalDpi="300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>
    <pageSetUpPr fitToPage="1"/>
  </sheetPr>
  <dimension ref="A1:N57"/>
  <sheetViews>
    <sheetView showGridLines="0" zoomScaleNormal="100" workbookViewId="0">
      <pane ySplit="3" topLeftCell="A4" activePane="bottomLeft" state="frozen"/>
      <selection activeCell="A2" sqref="A2"/>
      <selection pane="bottomLeft" activeCell="D4" sqref="D4"/>
    </sheetView>
  </sheetViews>
  <sheetFormatPr defaultRowHeight="10.199999999999999"/>
  <cols>
    <col min="1" max="1" width="87.85546875" customWidth="1"/>
    <col min="2" max="2" width="18" customWidth="1"/>
    <col min="3" max="3" width="18" hidden="1" customWidth="1"/>
    <col min="4" max="4" width="20.7109375" customWidth="1"/>
    <col min="5" max="5" width="7.85546875" customWidth="1"/>
    <col min="6" max="6" width="12.42578125" bestFit="1" customWidth="1"/>
    <col min="7" max="7" width="3.42578125" hidden="1" customWidth="1"/>
    <col min="8" max="8" width="9.140625" customWidth="1"/>
  </cols>
  <sheetData>
    <row r="1" spans="1:14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3"/>
      <c r="F1" s="3"/>
      <c r="G1" s="3"/>
      <c r="H1" s="4"/>
      <c r="I1" s="3"/>
      <c r="J1" s="3"/>
      <c r="K1" s="3"/>
      <c r="L1" s="3"/>
      <c r="N1"/>
    </row>
    <row r="2" spans="1:14" ht="30" customHeight="1" thickBot="1">
      <c r="A2" s="6"/>
      <c r="B2" s="1501"/>
      <c r="C2" s="1501"/>
      <c r="D2" s="1501"/>
    </row>
    <row r="3" spans="1:14" ht="21.75" customHeight="1" thickBot="1">
      <c r="A3" s="112" t="s">
        <v>162</v>
      </c>
      <c r="B3" s="292" t="s">
        <v>135</v>
      </c>
      <c r="C3" s="958"/>
      <c r="D3" s="293" t="s">
        <v>137</v>
      </c>
    </row>
    <row r="4" spans="1:14" s="114" customFormat="1" ht="23.25" customHeight="1" thickTop="1">
      <c r="A4" s="113" t="s">
        <v>186</v>
      </c>
      <c r="B4" s="169" t="s">
        <v>190</v>
      </c>
      <c r="C4" s="967">
        <f>ROUND(D4,0)</f>
        <v>461</v>
      </c>
      <c r="D4" s="213">
        <v>461</v>
      </c>
    </row>
    <row r="5" spans="1:14" s="114" customFormat="1" ht="23.25" customHeight="1">
      <c r="A5" s="117" t="s">
        <v>556</v>
      </c>
      <c r="B5" s="170" t="s">
        <v>202</v>
      </c>
      <c r="C5" s="960">
        <f t="shared" ref="C5:C29" si="0">ROUND(D5,0)</f>
        <v>0</v>
      </c>
      <c r="D5" s="213"/>
    </row>
    <row r="6" spans="1:14" s="114" customFormat="1" ht="23.25" customHeight="1">
      <c r="A6" s="117" t="s">
        <v>180</v>
      </c>
      <c r="B6" s="159" t="s">
        <v>203</v>
      </c>
      <c r="C6" s="959">
        <f t="shared" si="0"/>
        <v>0</v>
      </c>
      <c r="D6" s="213"/>
    </row>
    <row r="7" spans="1:14" s="114" customFormat="1" ht="23.25" customHeight="1">
      <c r="A7" s="117" t="s">
        <v>184</v>
      </c>
      <c r="B7" s="171" t="s">
        <v>204</v>
      </c>
      <c r="C7" s="960">
        <f t="shared" si="0"/>
        <v>0</v>
      </c>
      <c r="D7" s="213"/>
    </row>
    <row r="8" spans="1:14" s="114" customFormat="1" ht="23.25" customHeight="1">
      <c r="A8" s="118" t="s">
        <v>183</v>
      </c>
      <c r="B8" s="159" t="s">
        <v>205</v>
      </c>
      <c r="C8" s="959">
        <f t="shared" si="0"/>
        <v>0</v>
      </c>
      <c r="D8" s="213"/>
    </row>
    <row r="9" spans="1:14" s="114" customFormat="1" ht="23.25" customHeight="1">
      <c r="A9" s="141" t="s">
        <v>182</v>
      </c>
      <c r="B9" s="171" t="s">
        <v>206</v>
      </c>
      <c r="C9" s="960">
        <f t="shared" si="0"/>
        <v>0</v>
      </c>
      <c r="D9" s="214"/>
    </row>
    <row r="10" spans="1:14" s="114" customFormat="1" ht="23.25" customHeight="1">
      <c r="A10" s="172" t="s">
        <v>557</v>
      </c>
      <c r="B10" s="159" t="s">
        <v>194</v>
      </c>
      <c r="C10" s="959">
        <f t="shared" si="0"/>
        <v>0</v>
      </c>
      <c r="D10" s="213"/>
    </row>
    <row r="11" spans="1:14" s="114" customFormat="1" ht="23.25" customHeight="1">
      <c r="A11" s="118" t="s">
        <v>207</v>
      </c>
      <c r="B11" s="158" t="s">
        <v>208</v>
      </c>
      <c r="C11" s="959">
        <f t="shared" si="0"/>
        <v>0</v>
      </c>
      <c r="D11" s="213"/>
    </row>
    <row r="12" spans="1:14" s="114" customFormat="1" ht="23.25" customHeight="1">
      <c r="A12" s="118" t="s">
        <v>78</v>
      </c>
      <c r="B12" s="158" t="s">
        <v>210</v>
      </c>
      <c r="C12" s="959">
        <f t="shared" si="0"/>
        <v>0</v>
      </c>
      <c r="D12" s="213"/>
    </row>
    <row r="13" spans="1:14" s="114" customFormat="1" ht="23.25" customHeight="1">
      <c r="A13" s="118" t="s">
        <v>558</v>
      </c>
      <c r="B13" s="159" t="s">
        <v>222</v>
      </c>
      <c r="C13" s="959">
        <f t="shared" si="0"/>
        <v>0</v>
      </c>
      <c r="D13" s="213"/>
    </row>
    <row r="14" spans="1:14" s="114" customFormat="1" ht="23.25" customHeight="1">
      <c r="A14" s="118" t="s">
        <v>16</v>
      </c>
      <c r="B14" s="159" t="s">
        <v>17</v>
      </c>
      <c r="C14" s="959">
        <f t="shared" si="0"/>
        <v>0</v>
      </c>
      <c r="D14" s="213"/>
    </row>
    <row r="15" spans="1:14" s="114" customFormat="1" ht="23.25" customHeight="1">
      <c r="A15" s="141" t="s">
        <v>139</v>
      </c>
      <c r="B15" s="171" t="s">
        <v>209</v>
      </c>
      <c r="C15" s="960">
        <f t="shared" si="0"/>
        <v>0</v>
      </c>
      <c r="D15" s="214"/>
    </row>
    <row r="16" spans="1:14" s="114" customFormat="1" ht="23.25" customHeight="1">
      <c r="A16" s="172" t="s">
        <v>559</v>
      </c>
      <c r="B16" s="170" t="s">
        <v>191</v>
      </c>
      <c r="C16" s="961">
        <f t="shared" si="0"/>
        <v>0</v>
      </c>
      <c r="D16" s="214"/>
    </row>
    <row r="17" spans="1:8" s="114" customFormat="1" ht="23.25" customHeight="1">
      <c r="A17" s="119" t="s">
        <v>560</v>
      </c>
      <c r="B17" s="159" t="s">
        <v>192</v>
      </c>
      <c r="C17" s="959">
        <f t="shared" si="0"/>
        <v>0</v>
      </c>
      <c r="D17" s="213"/>
    </row>
    <row r="18" spans="1:8" s="116" customFormat="1" ht="23.25" customHeight="1">
      <c r="A18" s="115" t="s">
        <v>181</v>
      </c>
      <c r="B18" s="158" t="s">
        <v>201</v>
      </c>
      <c r="C18" s="959">
        <f t="shared" si="0"/>
        <v>41</v>
      </c>
      <c r="D18" s="214">
        <v>41</v>
      </c>
    </row>
    <row r="19" spans="1:8" s="116" customFormat="1" ht="23.25" customHeight="1">
      <c r="A19" s="858" t="s">
        <v>812</v>
      </c>
      <c r="B19" s="854" t="s">
        <v>811</v>
      </c>
      <c r="C19" s="962">
        <f t="shared" si="0"/>
        <v>0</v>
      </c>
      <c r="D19" s="213"/>
    </row>
    <row r="20" spans="1:8" s="5" customFormat="1" ht="23.25" customHeight="1">
      <c r="A20" s="113" t="s">
        <v>561</v>
      </c>
      <c r="B20" s="159" t="s">
        <v>197</v>
      </c>
      <c r="C20" s="959">
        <f t="shared" si="0"/>
        <v>20898</v>
      </c>
      <c r="D20" s="213">
        <v>20898</v>
      </c>
      <c r="G20" s="851" t="s">
        <v>808</v>
      </c>
    </row>
    <row r="21" spans="1:8" s="116" customFormat="1" ht="23.25" customHeight="1">
      <c r="A21" s="113" t="s">
        <v>562</v>
      </c>
      <c r="B21" s="171" t="s">
        <v>198</v>
      </c>
      <c r="C21" s="960">
        <f t="shared" si="0"/>
        <v>0</v>
      </c>
      <c r="D21" s="213"/>
      <c r="G21" s="852" t="s">
        <v>809</v>
      </c>
    </row>
    <row r="22" spans="1:8" s="116" customFormat="1" ht="23.25" customHeight="1">
      <c r="A22" s="113" t="s">
        <v>138</v>
      </c>
      <c r="B22" s="159" t="s">
        <v>199</v>
      </c>
      <c r="C22" s="959">
        <f t="shared" si="0"/>
        <v>6777</v>
      </c>
      <c r="D22" s="213">
        <v>6777</v>
      </c>
      <c r="F22" s="850" t="s">
        <v>810</v>
      </c>
      <c r="G22" s="853">
        <v>2</v>
      </c>
    </row>
    <row r="23" spans="1:8" s="116" customFormat="1" ht="23.25" customHeight="1">
      <c r="A23" s="113" t="s">
        <v>563</v>
      </c>
      <c r="B23" s="171" t="s">
        <v>193</v>
      </c>
      <c r="C23" s="960">
        <f t="shared" si="0"/>
        <v>0</v>
      </c>
      <c r="D23" s="213"/>
    </row>
    <row r="24" spans="1:8" s="116" customFormat="1" ht="23.25" customHeight="1">
      <c r="A24" s="173" t="s">
        <v>564</v>
      </c>
      <c r="B24" s="159" t="s">
        <v>195</v>
      </c>
      <c r="C24" s="963">
        <f t="shared" si="0"/>
        <v>0</v>
      </c>
      <c r="D24" s="215"/>
    </row>
    <row r="25" spans="1:8" s="116" customFormat="1" ht="23.25" customHeight="1">
      <c r="A25" s="174" t="s">
        <v>674</v>
      </c>
      <c r="B25" s="158" t="s">
        <v>196</v>
      </c>
      <c r="C25" s="964">
        <f t="shared" si="0"/>
        <v>0</v>
      </c>
      <c r="D25" s="215"/>
    </row>
    <row r="26" spans="1:8" s="116" customFormat="1" ht="23.25" customHeight="1">
      <c r="A26" s="174" t="s">
        <v>675</v>
      </c>
      <c r="B26" s="158" t="s">
        <v>676</v>
      </c>
      <c r="C26" s="964">
        <f t="shared" si="0"/>
        <v>0</v>
      </c>
      <c r="D26" s="215"/>
    </row>
    <row r="27" spans="1:8" s="116" customFormat="1" ht="23.25" customHeight="1">
      <c r="A27" s="719" t="s">
        <v>703</v>
      </c>
      <c r="B27" s="158" t="s">
        <v>623</v>
      </c>
      <c r="C27" s="964">
        <f t="shared" si="0"/>
        <v>0</v>
      </c>
      <c r="D27" s="215"/>
    </row>
    <row r="28" spans="1:8" s="116" customFormat="1" ht="23.25" customHeight="1">
      <c r="A28" s="718" t="s">
        <v>702</v>
      </c>
      <c r="B28" s="159" t="s">
        <v>200</v>
      </c>
      <c r="C28" s="965">
        <f t="shared" si="0"/>
        <v>0</v>
      </c>
      <c r="D28" s="214"/>
    </row>
    <row r="29" spans="1:8" s="116" customFormat="1" ht="23.25" customHeight="1" thickBot="1">
      <c r="A29" s="723" t="s">
        <v>704</v>
      </c>
      <c r="B29" s="160" t="s">
        <v>677</v>
      </c>
      <c r="C29" s="966">
        <f t="shared" si="0"/>
        <v>0</v>
      </c>
      <c r="D29" s="216"/>
    </row>
    <row r="30" spans="1:8" s="116" customFormat="1" ht="15" customHeight="1" thickBot="1">
      <c r="A30" s="1500" t="str">
        <f>IF(G22=1,"ATTENZIONE è stata dichiarata IRAP commerciale. Controllare l'importo inserito!"," ")</f>
        <v xml:space="preserve"> </v>
      </c>
      <c r="B30" s="1500"/>
      <c r="C30" s="1500"/>
      <c r="D30" s="1500"/>
    </row>
    <row r="31" spans="1:8" s="116" customFormat="1" ht="15" customHeight="1">
      <c r="A31" s="1494" t="s">
        <v>727</v>
      </c>
      <c r="B31" s="1495"/>
      <c r="C31" s="1495"/>
      <c r="D31" s="1496"/>
    </row>
    <row r="32" spans="1:8" s="116" customFormat="1" ht="95.1" customHeight="1" thickBot="1">
      <c r="A32" s="1491"/>
      <c r="B32" s="1492"/>
      <c r="C32" s="1492"/>
      <c r="D32" s="1493"/>
      <c r="E32" s="1498" t="str">
        <f>IF(AND(A32="",(D25+D26)&gt;0),"ATTENZIONE!  Inserire nel campo NOTE l'elenco delle Istituzioni ed il relativo importo dei rimborsi EFFETTUATI!",IF(AND(A32&lt;&gt;"",(D25+D26)=0),"ATTENZIONE!  il campo NOTE non deve essere compilato in assenza di rimborsi",""))</f>
        <v/>
      </c>
      <c r="F32" s="1499"/>
      <c r="G32" s="1499"/>
      <c r="H32" s="1499"/>
    </row>
    <row r="33" spans="1:8" s="116" customFormat="1" ht="15" customHeight="1" thickBot="1">
      <c r="A33" s="1500" t="str">
        <f>IF(LEN(A35)&gt;1000,"IL NUMERO MASSIMO DI CARATTERI CONSENTITI NEL CAMPO NOTE SOTTOSTANTE E' DI 1000","")</f>
        <v/>
      </c>
      <c r="B33" s="1500"/>
      <c r="C33" s="1500"/>
      <c r="D33" s="1500"/>
    </row>
    <row r="34" spans="1:8" s="116" customFormat="1" ht="15" customHeight="1">
      <c r="A34" s="1494" t="s">
        <v>728</v>
      </c>
      <c r="B34" s="1495"/>
      <c r="C34" s="1495"/>
      <c r="D34" s="1496"/>
    </row>
    <row r="35" spans="1:8" s="116" customFormat="1" ht="95.1" customHeight="1" thickBot="1">
      <c r="A35" s="1491"/>
      <c r="B35" s="1492"/>
      <c r="C35" s="1492"/>
      <c r="D35" s="1493"/>
      <c r="E35" s="1498" t="str">
        <f>IF(AND(A35="",(D27+D28+D29)&gt;0),"ATTENZIONE!  Inserire nel campo NOTE l'elenco delle Istituzioni ed il relativo importo dei rimborsi RICEVUTI!",IF(AND(A35&lt;&gt;"",(D27+D28+D29)=0),"ATTENZIONE!  il campo NOTE non deve essere compilato in assenza di rimborsi",""))</f>
        <v/>
      </c>
      <c r="F35" s="1499"/>
      <c r="G35" s="1499"/>
      <c r="H35" s="1499"/>
    </row>
    <row r="36" spans="1:8" s="116" customFormat="1" ht="23.25" customHeight="1">
      <c r="A36" s="5" t="s">
        <v>709</v>
      </c>
      <c r="B36"/>
      <c r="C36"/>
    </row>
    <row r="37" spans="1:8" ht="25.5" customHeight="1">
      <c r="A37" s="1497" t="s">
        <v>774</v>
      </c>
      <c r="B37" s="1497"/>
      <c r="C37" s="1497"/>
      <c r="D37" s="1497"/>
    </row>
    <row r="38" spans="1:8" ht="25.5" customHeight="1">
      <c r="A38" s="1497" t="s">
        <v>775</v>
      </c>
      <c r="B38" s="1497"/>
      <c r="C38" s="1497"/>
      <c r="D38" s="1497"/>
    </row>
    <row r="57" spans="1:1">
      <c r="A57" s="722"/>
    </row>
  </sheetData>
  <sheetProtection password="EA98" sheet="1" formatColumns="0" selectLockedCells="1"/>
  <mergeCells count="12">
    <mergeCell ref="E32:H32"/>
    <mergeCell ref="E35:H35"/>
    <mergeCell ref="A30:D30"/>
    <mergeCell ref="A33:D33"/>
    <mergeCell ref="B2:D2"/>
    <mergeCell ref="A32:D32"/>
    <mergeCell ref="A31:D31"/>
    <mergeCell ref="A38:D38"/>
    <mergeCell ref="A1:D1"/>
    <mergeCell ref="A34:D34"/>
    <mergeCell ref="A35:D35"/>
    <mergeCell ref="A37:D37"/>
  </mergeCells>
  <phoneticPr fontId="30" type="noConversion"/>
  <dataValidations count="4">
    <dataValidation type="textLength" allowBlank="1" showInputMessage="1" showErrorMessage="1" errorTitle="ATTENZIONE ! ! ! " error="E' stato superato il limite di 1000 caratteri" sqref="A32:D32 A35:D35">
      <formula1>0</formula1>
      <formula2>1000</formula2>
    </dataValidation>
    <dataValidation type="whole" allowBlank="1" showInputMessage="1" showErrorMessage="1" errorTitle="ERRORE NEL DATO IMMESSO" error="INSERIRE SOLO NUMERI INTERI" sqref="D4:D24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da cui si ricevono i rimborsi ed i relativi importi" sqref="D27:D29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che ricevono i rimborsi ed i relativi importi" sqref="D25:D26">
      <formula1>1</formula1>
      <formula2>999999999999</formula2>
    </dataValidation>
  </dataValidations>
  <printOptions horizontalCentered="1" verticalCentered="1"/>
  <pageMargins left="0" right="0" top="0.19685039370078741" bottom="0.15748031496062992" header="0.19685039370078741" footer="0.19685039370078741"/>
  <pageSetup paperSize="9" scale="80" orientation="portrait" horizontalDpi="300" verticalDpi="4294967292" r:id="rId1"/>
  <headerFooter alignWithMargins="0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W46"/>
  <sheetViews>
    <sheetView showGridLines="0" zoomScale="75" zoomScaleNormal="75" workbookViewId="0">
      <selection activeCell="C7" sqref="C7"/>
    </sheetView>
  </sheetViews>
  <sheetFormatPr defaultColWidth="9.28515625" defaultRowHeight="10.199999999999999"/>
  <cols>
    <col min="1" max="1" width="67.42578125" style="620" customWidth="1"/>
    <col min="2" max="2" width="11.42578125" style="1093" customWidth="1"/>
    <col min="3" max="3" width="20.85546875" style="620" customWidth="1"/>
    <col min="4" max="4" width="2.85546875" style="620" customWidth="1"/>
    <col min="5" max="5" width="67.42578125" style="620" customWidth="1"/>
    <col min="6" max="6" width="11.42578125" style="620" customWidth="1"/>
    <col min="7" max="7" width="20.85546875" style="620" customWidth="1"/>
    <col min="8" max="8" width="40.85546875" style="620" customWidth="1"/>
    <col min="9" max="14" width="9.28515625" style="620"/>
    <col min="15" max="17" width="14.140625" style="1040" hidden="1" customWidth="1"/>
    <col min="18" max="18" width="14.140625" style="1041" hidden="1" customWidth="1"/>
    <col min="19" max="19" width="9.28515625" style="1041" hidden="1" customWidth="1"/>
    <col min="20" max="22" width="14.140625" style="1040" hidden="1" customWidth="1"/>
    <col min="23" max="23" width="14.140625" style="1041" hidden="1" customWidth="1"/>
    <col min="24" max="16384" width="9.28515625" style="620"/>
  </cols>
  <sheetData>
    <row r="1" spans="1:23" s="1035" customFormat="1" ht="43.5" customHeight="1">
      <c r="A1" s="1033" t="str">
        <f>'t1'!$A$1</f>
        <v>COMPARTO REGIONI ED AUTONOMIE LOCALI - anno 2017</v>
      </c>
      <c r="B1" s="1033"/>
      <c r="C1" s="1033"/>
      <c r="D1" s="1033"/>
      <c r="E1" s="1033"/>
      <c r="F1" s="1033"/>
      <c r="G1" s="1033"/>
      <c r="H1" s="1034" t="s">
        <v>422</v>
      </c>
      <c r="O1" s="1036"/>
      <c r="P1" s="1036"/>
      <c r="Q1" s="1037"/>
      <c r="R1" s="1038"/>
      <c r="S1" s="1038"/>
      <c r="T1" s="1036"/>
      <c r="U1" s="1036"/>
      <c r="V1" s="1037"/>
      <c r="W1" s="1038"/>
    </row>
    <row r="2" spans="1:23" ht="42" customHeight="1" thickBot="1">
      <c r="B2" s="620"/>
      <c r="E2" s="1039"/>
      <c r="F2" s="1039"/>
      <c r="G2" s="1039"/>
      <c r="O2" s="1036"/>
      <c r="P2" s="1036"/>
      <c r="T2" s="1036"/>
      <c r="U2" s="1036"/>
    </row>
    <row r="3" spans="1:23" ht="25.5" customHeight="1" thickBot="1">
      <c r="A3" s="1042" t="s">
        <v>27</v>
      </c>
      <c r="B3" s="1043"/>
      <c r="C3" s="1044"/>
      <c r="D3" s="1045"/>
      <c r="E3" s="1042" t="s">
        <v>28</v>
      </c>
      <c r="F3" s="1046"/>
      <c r="G3" s="1047"/>
      <c r="H3" s="1025" t="s">
        <v>1022</v>
      </c>
      <c r="I3" s="1048"/>
      <c r="J3" s="1048"/>
      <c r="K3" s="1048"/>
      <c r="L3" s="1048"/>
      <c r="O3" s="1049"/>
      <c r="P3" s="1049"/>
      <c r="T3" s="1049"/>
      <c r="U3" s="1049"/>
    </row>
    <row r="4" spans="1:23" ht="18" customHeight="1">
      <c r="A4" s="1050" t="s">
        <v>162</v>
      </c>
      <c r="B4" s="1051" t="s">
        <v>163</v>
      </c>
      <c r="C4" s="1052" t="s">
        <v>282</v>
      </c>
      <c r="D4" s="1053"/>
      <c r="E4" s="1050" t="s">
        <v>162</v>
      </c>
      <c r="F4" s="1054" t="s">
        <v>163</v>
      </c>
      <c r="G4" s="1055" t="s">
        <v>282</v>
      </c>
      <c r="H4" s="1502" t="str">
        <f>IF(AND(C41=0,ISBLANK('SICI(1)'!E17),ISBLANK('SICI(1)'!E19),ISBLANK('SICI(1)'!E21)),"OK",IF(AND(C41&gt;0,ISBLANK('SICI(1)'!E17),ISBLANK('SICI(1)'!E19),ISBLANK('SICI(1)'!E21)),"Attenzione: inserire le voci di costituzione del fondo unicamente in presenza di certificazione dello stesso !!!","OK"))</f>
        <v>OK</v>
      </c>
      <c r="I4" s="1048"/>
      <c r="J4" s="1048"/>
      <c r="K4" s="1048"/>
      <c r="L4" s="1048"/>
    </row>
    <row r="5" spans="1:23" ht="15" customHeight="1">
      <c r="A5" s="1056" t="s">
        <v>1023</v>
      </c>
      <c r="B5" s="1057"/>
      <c r="C5" s="1058"/>
      <c r="D5" s="1059"/>
      <c r="E5" s="1056" t="s">
        <v>1023</v>
      </c>
      <c r="F5" s="1057"/>
      <c r="G5" s="1058"/>
      <c r="H5" s="1503"/>
      <c r="O5" s="1135" t="s">
        <v>1024</v>
      </c>
      <c r="P5" s="1060"/>
      <c r="Q5" s="1061"/>
      <c r="R5" s="1061"/>
      <c r="T5" s="1135" t="s">
        <v>1025</v>
      </c>
      <c r="U5" s="1060"/>
      <c r="V5" s="1061"/>
      <c r="W5" s="1061"/>
    </row>
    <row r="6" spans="1:23" ht="15" customHeight="1">
      <c r="A6" s="1062" t="s">
        <v>1026</v>
      </c>
      <c r="B6" s="1063"/>
      <c r="C6" s="1064"/>
      <c r="D6" s="1059"/>
      <c r="E6" s="1270" t="s">
        <v>1071</v>
      </c>
      <c r="F6" s="1063"/>
      <c r="G6" s="1064"/>
      <c r="H6" s="1503"/>
      <c r="O6" s="1136" t="s">
        <v>1027</v>
      </c>
      <c r="P6" s="1136" t="s">
        <v>1028</v>
      </c>
      <c r="Q6" s="1136" t="s">
        <v>1029</v>
      </c>
      <c r="R6" s="1136" t="s">
        <v>915</v>
      </c>
      <c r="T6" s="1136" t="s">
        <v>1027</v>
      </c>
      <c r="U6" s="1136" t="s">
        <v>1028</v>
      </c>
      <c r="V6" s="1136" t="s">
        <v>1029</v>
      </c>
      <c r="W6" s="1136" t="s">
        <v>915</v>
      </c>
    </row>
    <row r="7" spans="1:23" ht="15" customHeight="1">
      <c r="A7" s="1065" t="s">
        <v>574</v>
      </c>
      <c r="B7" s="1054" t="s">
        <v>414</v>
      </c>
      <c r="C7" s="1066"/>
      <c r="D7" s="1067"/>
      <c r="E7" s="1065" t="s">
        <v>29</v>
      </c>
      <c r="F7" s="1054" t="s">
        <v>596</v>
      </c>
      <c r="G7" s="1068"/>
      <c r="H7" s="1503"/>
      <c r="I7" s="1048"/>
      <c r="J7" s="1048"/>
      <c r="K7" s="1048"/>
      <c r="L7" s="1048"/>
      <c r="O7" s="1069">
        <v>8</v>
      </c>
      <c r="P7" s="1069">
        <v>7</v>
      </c>
      <c r="Q7" s="1040" t="str">
        <f>B7</f>
        <v>F400</v>
      </c>
      <c r="R7" s="1070">
        <f>ROUND(C7,0)</f>
        <v>0</v>
      </c>
      <c r="T7" s="1069">
        <v>8</v>
      </c>
      <c r="U7" s="1069">
        <v>61</v>
      </c>
      <c r="V7" s="1071" t="str">
        <f>F7</f>
        <v>U448</v>
      </c>
      <c r="W7" s="1070">
        <f>ROUND(G7,0)</f>
        <v>0</v>
      </c>
    </row>
    <row r="8" spans="1:23" ht="15" customHeight="1">
      <c r="A8" s="1065" t="s">
        <v>575</v>
      </c>
      <c r="B8" s="1054" t="s">
        <v>415</v>
      </c>
      <c r="C8" s="1066"/>
      <c r="D8" s="1067"/>
      <c r="E8" s="1065" t="s">
        <v>30</v>
      </c>
      <c r="F8" s="1054" t="s">
        <v>597</v>
      </c>
      <c r="G8" s="1068"/>
      <c r="H8" s="1503"/>
      <c r="I8" s="1048"/>
      <c r="J8" s="1048"/>
      <c r="K8" s="1048"/>
      <c r="L8" s="1048"/>
      <c r="O8" s="1069">
        <v>8</v>
      </c>
      <c r="P8" s="1069">
        <v>7</v>
      </c>
      <c r="Q8" s="1040" t="str">
        <f t="shared" ref="Q8:Q17" si="0">B8</f>
        <v>F403</v>
      </c>
      <c r="R8" s="1070">
        <f t="shared" ref="R8:R17" si="1">ROUND(C8,0)</f>
        <v>0</v>
      </c>
      <c r="T8" s="1069">
        <v>8</v>
      </c>
      <c r="U8" s="1069">
        <v>61</v>
      </c>
      <c r="V8" s="1071" t="str">
        <f>F8</f>
        <v>U449</v>
      </c>
      <c r="W8" s="1070">
        <f>ROUND(G8,0)</f>
        <v>0</v>
      </c>
    </row>
    <row r="9" spans="1:23" ht="15" customHeight="1" thickBot="1">
      <c r="A9" s="1065" t="s">
        <v>576</v>
      </c>
      <c r="B9" s="1054" t="s">
        <v>586</v>
      </c>
      <c r="C9" s="1066"/>
      <c r="D9" s="1067"/>
      <c r="E9" s="1065" t="s">
        <v>850</v>
      </c>
      <c r="F9" s="1054" t="s">
        <v>851</v>
      </c>
      <c r="G9" s="1068"/>
      <c r="H9" s="1504"/>
      <c r="I9" s="1048"/>
      <c r="J9" s="1048"/>
      <c r="K9" s="1048"/>
      <c r="L9" s="1048"/>
      <c r="O9" s="1069">
        <v>8</v>
      </c>
      <c r="P9" s="1069">
        <v>7</v>
      </c>
      <c r="Q9" s="1040" t="str">
        <f t="shared" si="0"/>
        <v>F65G</v>
      </c>
      <c r="R9" s="1070">
        <f t="shared" si="1"/>
        <v>0</v>
      </c>
      <c r="T9" s="1069">
        <v>8</v>
      </c>
      <c r="U9" s="1069">
        <v>61</v>
      </c>
      <c r="V9" s="1071" t="str">
        <f>F9</f>
        <v>U02I</v>
      </c>
      <c r="W9" s="1070">
        <f>ROUND(G9,0)</f>
        <v>0</v>
      </c>
    </row>
    <row r="10" spans="1:23" ht="15" customHeight="1" thickBot="1">
      <c r="A10" s="1065" t="s">
        <v>577</v>
      </c>
      <c r="B10" s="1054" t="s">
        <v>587</v>
      </c>
      <c r="C10" s="1066"/>
      <c r="D10" s="1067"/>
      <c r="E10" s="1271" t="s">
        <v>1072</v>
      </c>
      <c r="F10" s="1074"/>
      <c r="G10" s="1075">
        <f>SUM(G7:G9)</f>
        <v>0</v>
      </c>
      <c r="H10" s="1076" t="s">
        <v>1030</v>
      </c>
      <c r="I10" s="1048"/>
      <c r="J10" s="1048"/>
      <c r="K10" s="1048"/>
      <c r="L10" s="1048"/>
      <c r="O10" s="1069">
        <v>8</v>
      </c>
      <c r="P10" s="1069">
        <v>7</v>
      </c>
      <c r="Q10" s="1040" t="str">
        <f t="shared" si="0"/>
        <v>F66G</v>
      </c>
      <c r="R10" s="1070">
        <f t="shared" si="1"/>
        <v>0</v>
      </c>
      <c r="T10" s="1069" t="s">
        <v>746</v>
      </c>
      <c r="U10" s="1069"/>
      <c r="V10" s="1071"/>
      <c r="W10" s="1070"/>
    </row>
    <row r="11" spans="1:23" ht="15" customHeight="1" thickBot="1">
      <c r="A11" s="1065" t="s">
        <v>578</v>
      </c>
      <c r="B11" s="1054" t="s">
        <v>538</v>
      </c>
      <c r="C11" s="1066"/>
      <c r="D11" s="1067"/>
      <c r="E11" s="1090" t="s">
        <v>814</v>
      </c>
      <c r="F11" s="1088"/>
      <c r="G11" s="1092">
        <f>G10</f>
        <v>0</v>
      </c>
      <c r="H11" s="1502" t="str">
        <f>IF(OR(AND(C41=0,G41=0),ROUND(C41,0)&lt;&gt;ROUND(G41,0)),"OK","Attenzione: le risorse del fondo coincidono esattamente con i relativi impeghi, è necessario giustificare")</f>
        <v>OK</v>
      </c>
      <c r="I11" s="1048"/>
      <c r="J11" s="1048"/>
      <c r="K11" s="1048"/>
      <c r="L11" s="1048"/>
      <c r="O11" s="1069">
        <v>8</v>
      </c>
      <c r="P11" s="1069">
        <v>7</v>
      </c>
      <c r="Q11" s="1040" t="str">
        <f t="shared" si="0"/>
        <v>F940</v>
      </c>
      <c r="R11" s="1070">
        <f t="shared" si="1"/>
        <v>0</v>
      </c>
      <c r="T11" s="1069"/>
      <c r="U11" s="1069"/>
      <c r="V11" s="1071"/>
      <c r="W11" s="1070"/>
    </row>
    <row r="12" spans="1:23" ht="15" customHeight="1">
      <c r="A12" s="1065" t="s">
        <v>579</v>
      </c>
      <c r="B12" s="1054" t="s">
        <v>588</v>
      </c>
      <c r="C12" s="1066"/>
      <c r="D12" s="1067"/>
      <c r="E12" s="1078"/>
      <c r="F12" s="621"/>
      <c r="G12" s="1079"/>
      <c r="H12" s="1503"/>
      <c r="I12" s="1048"/>
      <c r="J12" s="1048"/>
      <c r="K12" s="1048"/>
      <c r="L12" s="1048"/>
      <c r="O12" s="1069">
        <v>8</v>
      </c>
      <c r="P12" s="1069">
        <v>7</v>
      </c>
      <c r="Q12" s="1040" t="str">
        <f t="shared" si="0"/>
        <v>F67G</v>
      </c>
      <c r="R12" s="1070">
        <f t="shared" si="1"/>
        <v>0</v>
      </c>
      <c r="U12" s="1069"/>
      <c r="V12" s="1071"/>
      <c r="W12" s="1070"/>
    </row>
    <row r="13" spans="1:23" ht="15" customHeight="1">
      <c r="A13" s="1065" t="s">
        <v>580</v>
      </c>
      <c r="B13" s="1054" t="s">
        <v>417</v>
      </c>
      <c r="C13" s="1066"/>
      <c r="D13" s="1067"/>
      <c r="E13" s="1080"/>
      <c r="F13" s="621"/>
      <c r="G13" s="1079"/>
      <c r="H13" s="1503"/>
      <c r="I13" s="1048"/>
      <c r="J13" s="1048"/>
      <c r="K13" s="1048"/>
      <c r="L13" s="1048"/>
      <c r="O13" s="1069">
        <v>8</v>
      </c>
      <c r="P13" s="1069">
        <v>7</v>
      </c>
      <c r="Q13" s="1040" t="str">
        <f t="shared" si="0"/>
        <v>F405</v>
      </c>
      <c r="R13" s="1070">
        <f t="shared" si="1"/>
        <v>0</v>
      </c>
      <c r="T13" s="1069"/>
      <c r="U13" s="1069"/>
      <c r="V13" s="1071"/>
      <c r="W13" s="1070"/>
    </row>
    <row r="14" spans="1:23" ht="15" customHeight="1">
      <c r="A14" s="1065" t="s">
        <v>581</v>
      </c>
      <c r="B14" s="1054" t="s">
        <v>418</v>
      </c>
      <c r="C14" s="1066"/>
      <c r="D14" s="1067"/>
      <c r="E14" s="1078"/>
      <c r="F14" s="621"/>
      <c r="G14" s="1079"/>
      <c r="H14" s="1503"/>
      <c r="I14" s="1048"/>
      <c r="J14" s="1048"/>
      <c r="K14" s="1048"/>
      <c r="L14" s="1048"/>
      <c r="O14" s="1069">
        <v>8</v>
      </c>
      <c r="P14" s="1069">
        <v>7</v>
      </c>
      <c r="Q14" s="1040" t="str">
        <f t="shared" si="0"/>
        <v>F406</v>
      </c>
      <c r="R14" s="1070">
        <f t="shared" si="1"/>
        <v>0</v>
      </c>
      <c r="T14" s="1069"/>
      <c r="U14" s="1069"/>
      <c r="V14" s="1071"/>
      <c r="W14" s="1070"/>
    </row>
    <row r="15" spans="1:23" ht="15" customHeight="1">
      <c r="A15" s="1065" t="s">
        <v>582</v>
      </c>
      <c r="B15" s="1054" t="s">
        <v>539</v>
      </c>
      <c r="C15" s="1066"/>
      <c r="D15" s="1067"/>
      <c r="E15" s="1078"/>
      <c r="F15" s="621"/>
      <c r="G15" s="1079"/>
      <c r="H15" s="1503"/>
      <c r="I15" s="1048"/>
      <c r="J15" s="1048"/>
      <c r="K15" s="1048"/>
      <c r="L15" s="1048"/>
      <c r="O15" s="1069">
        <v>8</v>
      </c>
      <c r="P15" s="1069">
        <v>7</v>
      </c>
      <c r="Q15" s="1040" t="str">
        <f t="shared" si="0"/>
        <v>F942</v>
      </c>
      <c r="R15" s="1070">
        <f t="shared" si="1"/>
        <v>0</v>
      </c>
      <c r="T15" s="1069"/>
      <c r="U15" s="1069"/>
      <c r="V15" s="1071"/>
      <c r="W15" s="1070"/>
    </row>
    <row r="16" spans="1:23" ht="15" customHeight="1" thickBot="1">
      <c r="A16" s="1065" t="s">
        <v>583</v>
      </c>
      <c r="B16" s="1054" t="s">
        <v>420</v>
      </c>
      <c r="C16" s="1066"/>
      <c r="D16" s="1067"/>
      <c r="E16" s="1078"/>
      <c r="F16" s="621"/>
      <c r="G16" s="1079"/>
      <c r="H16" s="1504"/>
      <c r="I16" s="1048"/>
      <c r="J16" s="1048"/>
      <c r="K16" s="1048"/>
      <c r="L16" s="1048"/>
      <c r="O16" s="1069">
        <v>8</v>
      </c>
      <c r="P16" s="1069">
        <v>7</v>
      </c>
      <c r="Q16" s="1040" t="str">
        <f t="shared" si="0"/>
        <v>F411</v>
      </c>
      <c r="R16" s="1070">
        <f t="shared" si="1"/>
        <v>0</v>
      </c>
      <c r="T16" s="1069"/>
      <c r="U16" s="1069"/>
      <c r="V16" s="1071"/>
      <c r="W16" s="1070"/>
    </row>
    <row r="17" spans="1:23" ht="15" customHeight="1" thickBot="1">
      <c r="A17" s="1065" t="s">
        <v>584</v>
      </c>
      <c r="B17" s="1054" t="s">
        <v>336</v>
      </c>
      <c r="C17" s="1066"/>
      <c r="D17" s="1067"/>
      <c r="E17" s="1078"/>
      <c r="F17" s="621"/>
      <c r="G17" s="1079"/>
      <c r="H17" s="1076" t="s">
        <v>1073</v>
      </c>
      <c r="I17" s="1048"/>
      <c r="J17" s="1048"/>
      <c r="K17" s="1048"/>
      <c r="L17" s="1048"/>
      <c r="O17" s="1069">
        <v>8</v>
      </c>
      <c r="P17" s="1069">
        <v>7</v>
      </c>
      <c r="Q17" s="1040" t="str">
        <f t="shared" si="0"/>
        <v>F998</v>
      </c>
      <c r="R17" s="1070">
        <f t="shared" si="1"/>
        <v>0</v>
      </c>
      <c r="T17" s="1069"/>
      <c r="U17" s="1069"/>
      <c r="W17" s="1070"/>
    </row>
    <row r="18" spans="1:23" ht="15" customHeight="1" thickBot="1">
      <c r="A18" s="1073" t="s">
        <v>540</v>
      </c>
      <c r="B18" s="1077"/>
      <c r="C18" s="1075">
        <f>SUM(C7:C17)</f>
        <v>0</v>
      </c>
      <c r="D18" s="1067"/>
      <c r="E18" s="1078"/>
      <c r="F18" s="621"/>
      <c r="G18" s="1079"/>
      <c r="H18" s="1502" t="str">
        <f>IF(C41=0,"OK",IF(AND(C17/C41&lt;0.1,C29/C41&lt;0.1),"OK","Attenzione: la voce altre risorse fisse e/o la voce altre risorse variabili risulta maggiore del 10% del fondo, è necessario giustificare"))</f>
        <v>OK</v>
      </c>
      <c r="I18" s="1048"/>
      <c r="J18" s="1048"/>
      <c r="K18" s="1048"/>
      <c r="L18" s="1048"/>
      <c r="O18" s="1069"/>
      <c r="P18" s="1069"/>
      <c r="R18" s="1070"/>
      <c r="T18" s="1069"/>
      <c r="U18" s="1069"/>
      <c r="W18" s="1070"/>
    </row>
    <row r="19" spans="1:23" ht="15" customHeight="1">
      <c r="A19" s="1082" t="s">
        <v>541</v>
      </c>
      <c r="B19" s="1083"/>
      <c r="C19" s="1084"/>
      <c r="D19" s="1067"/>
      <c r="E19" s="1078"/>
      <c r="F19" s="621"/>
      <c r="G19" s="1079"/>
      <c r="H19" s="1503"/>
      <c r="I19" s="1048"/>
      <c r="J19" s="1048"/>
      <c r="K19" s="1048"/>
      <c r="L19" s="1048"/>
      <c r="O19" s="1069"/>
      <c r="P19" s="1069"/>
      <c r="R19" s="1070"/>
      <c r="T19" s="1069"/>
      <c r="U19" s="1069"/>
      <c r="V19" s="1071"/>
      <c r="W19" s="1070"/>
    </row>
    <row r="20" spans="1:23" ht="15" customHeight="1">
      <c r="A20" s="1065" t="s">
        <v>590</v>
      </c>
      <c r="B20" s="1051" t="s">
        <v>7</v>
      </c>
      <c r="C20" s="1066"/>
      <c r="D20" s="1067"/>
      <c r="E20" s="1078"/>
      <c r="F20" s="621"/>
      <c r="G20" s="1079"/>
      <c r="H20" s="1503"/>
      <c r="I20" s="1048"/>
      <c r="J20" s="1048"/>
      <c r="K20" s="1048"/>
      <c r="L20" s="1048"/>
      <c r="O20" s="1069">
        <v>8</v>
      </c>
      <c r="P20" s="1069">
        <v>9</v>
      </c>
      <c r="Q20" s="1040" t="str">
        <f>B20</f>
        <v>F928</v>
      </c>
      <c r="R20" s="1070">
        <f>ROUND(C20,0)</f>
        <v>0</v>
      </c>
      <c r="T20" s="1069"/>
      <c r="U20" s="1069"/>
      <c r="V20" s="1071"/>
      <c r="W20" s="1070"/>
    </row>
    <row r="21" spans="1:23" ht="15" customHeight="1">
      <c r="A21" s="1065" t="s">
        <v>641</v>
      </c>
      <c r="B21" s="1051" t="s">
        <v>642</v>
      </c>
      <c r="C21" s="1066"/>
      <c r="D21" s="1067"/>
      <c r="E21" s="1078"/>
      <c r="F21" s="621"/>
      <c r="G21" s="1079"/>
      <c r="H21" s="1503"/>
      <c r="I21" s="621"/>
      <c r="J21" s="621"/>
      <c r="K21" s="621"/>
      <c r="L21" s="621"/>
      <c r="O21" s="1069">
        <v>8</v>
      </c>
      <c r="P21" s="1069">
        <v>9</v>
      </c>
      <c r="Q21" s="1040" t="str">
        <f>B21</f>
        <v>F50H</v>
      </c>
      <c r="R21" s="1070">
        <f>ROUND(C21,0)</f>
        <v>0</v>
      </c>
      <c r="T21" s="1069"/>
      <c r="U21" s="1069"/>
      <c r="V21" s="1071"/>
      <c r="W21" s="1070"/>
    </row>
    <row r="22" spans="1:23" ht="15" customHeight="1">
      <c r="A22" s="1065" t="s">
        <v>643</v>
      </c>
      <c r="B22" s="1051" t="s">
        <v>644</v>
      </c>
      <c r="C22" s="1066"/>
      <c r="D22" s="1067"/>
      <c r="E22" s="1078"/>
      <c r="F22" s="621"/>
      <c r="G22" s="1079"/>
      <c r="H22" s="1503"/>
      <c r="I22" s="621"/>
      <c r="J22" s="621"/>
      <c r="K22" s="621"/>
      <c r="L22" s="621"/>
      <c r="O22" s="1069">
        <v>8</v>
      </c>
      <c r="P22" s="1069">
        <v>9</v>
      </c>
      <c r="Q22" s="1040" t="str">
        <f>B22</f>
        <v>F51H</v>
      </c>
      <c r="R22" s="1070">
        <f>ROUND(C22,0)</f>
        <v>0</v>
      </c>
      <c r="T22" s="1069"/>
      <c r="U22" s="1069"/>
    </row>
    <row r="23" spans="1:23" ht="15" customHeight="1" thickBot="1">
      <c r="A23" s="1065" t="s">
        <v>594</v>
      </c>
      <c r="B23" s="1051" t="s">
        <v>419</v>
      </c>
      <c r="C23" s="1066"/>
      <c r="D23" s="1067"/>
      <c r="E23" s="1078"/>
      <c r="F23" s="621"/>
      <c r="G23" s="1079"/>
      <c r="H23" s="1504"/>
      <c r="I23" s="621"/>
      <c r="J23" s="621"/>
      <c r="K23" s="621"/>
      <c r="L23" s="621"/>
      <c r="O23" s="1069">
        <v>8</v>
      </c>
      <c r="P23" s="1069">
        <v>9</v>
      </c>
      <c r="Q23" s="1040" t="str">
        <f t="shared" ref="Q23:Q30" si="2">B23</f>
        <v>F408</v>
      </c>
      <c r="R23" s="1070">
        <f t="shared" ref="R23:R30" si="3">ROUND(C23,0)</f>
        <v>0</v>
      </c>
      <c r="T23" s="1069"/>
      <c r="U23" s="1069"/>
    </row>
    <row r="24" spans="1:23" ht="15" customHeight="1">
      <c r="A24" s="1065" t="s">
        <v>592</v>
      </c>
      <c r="B24" s="1051" t="s">
        <v>542</v>
      </c>
      <c r="C24" s="1066"/>
      <c r="D24" s="1067"/>
      <c r="E24" s="1078"/>
      <c r="F24" s="621"/>
      <c r="G24" s="1079"/>
      <c r="H24" s="1081"/>
      <c r="I24" s="621"/>
      <c r="J24" s="621"/>
      <c r="K24" s="621"/>
      <c r="L24" s="621"/>
      <c r="O24" s="1069">
        <v>8</v>
      </c>
      <c r="P24" s="1069">
        <v>9</v>
      </c>
      <c r="Q24" s="1040" t="str">
        <f t="shared" si="2"/>
        <v>F943</v>
      </c>
      <c r="R24" s="1070">
        <f t="shared" si="3"/>
        <v>0</v>
      </c>
      <c r="T24" s="1069"/>
      <c r="U24" s="1069"/>
      <c r="W24" s="1070"/>
    </row>
    <row r="25" spans="1:23" ht="15" customHeight="1">
      <c r="A25" s="1065" t="s">
        <v>593</v>
      </c>
      <c r="B25" s="1051" t="s">
        <v>543</v>
      </c>
      <c r="C25" s="1066"/>
      <c r="D25" s="1067"/>
      <c r="E25" s="1078"/>
      <c r="F25" s="621"/>
      <c r="G25" s="1079"/>
      <c r="H25" s="1081"/>
      <c r="I25" s="621"/>
      <c r="J25" s="621"/>
      <c r="K25" s="621"/>
      <c r="L25" s="621"/>
      <c r="O25" s="1069">
        <v>8</v>
      </c>
      <c r="P25" s="1069">
        <v>9</v>
      </c>
      <c r="Q25" s="1040" t="str">
        <f t="shared" si="2"/>
        <v>F944</v>
      </c>
      <c r="R25" s="1070">
        <f t="shared" si="3"/>
        <v>0</v>
      </c>
      <c r="T25" s="1069"/>
      <c r="U25" s="1069"/>
      <c r="W25" s="1070"/>
    </row>
    <row r="26" spans="1:23" ht="15" customHeight="1">
      <c r="A26" s="1065" t="s">
        <v>622</v>
      </c>
      <c r="B26" s="1051" t="s">
        <v>416</v>
      </c>
      <c r="C26" s="1066"/>
      <c r="D26" s="1067"/>
      <c r="E26" s="1078"/>
      <c r="F26" s="621"/>
      <c r="G26" s="1079"/>
      <c r="H26" s="1081"/>
      <c r="I26" s="621"/>
      <c r="J26" s="621"/>
      <c r="K26" s="621"/>
      <c r="L26" s="621"/>
      <c r="O26" s="1069">
        <v>8</v>
      </c>
      <c r="P26" s="1069">
        <v>9</v>
      </c>
      <c r="Q26" s="1040" t="str">
        <f t="shared" si="2"/>
        <v>F404</v>
      </c>
      <c r="R26" s="1070">
        <f t="shared" si="3"/>
        <v>0</v>
      </c>
      <c r="T26" s="1069"/>
      <c r="U26" s="1069"/>
      <c r="W26" s="1070"/>
    </row>
    <row r="27" spans="1:23" ht="15" customHeight="1">
      <c r="A27" s="1065" t="s">
        <v>591</v>
      </c>
      <c r="B27" s="1051" t="s">
        <v>589</v>
      </c>
      <c r="C27" s="1066"/>
      <c r="D27" s="1067"/>
      <c r="E27" s="1078"/>
      <c r="F27" s="621"/>
      <c r="G27" s="1079"/>
      <c r="H27" s="1081"/>
      <c r="I27" s="621"/>
      <c r="J27" s="621"/>
      <c r="K27" s="621"/>
      <c r="L27" s="621"/>
      <c r="O27" s="1069">
        <v>8</v>
      </c>
      <c r="P27" s="1069">
        <v>9</v>
      </c>
      <c r="Q27" s="1040" t="str">
        <f t="shared" si="2"/>
        <v>F68G</v>
      </c>
      <c r="R27" s="1070">
        <f t="shared" si="3"/>
        <v>0</v>
      </c>
      <c r="T27" s="1069"/>
      <c r="U27" s="1069"/>
      <c r="W27" s="1070"/>
    </row>
    <row r="28" spans="1:23" ht="15" customHeight="1">
      <c r="A28" s="1065" t="s">
        <v>783</v>
      </c>
      <c r="B28" s="1054" t="s">
        <v>784</v>
      </c>
      <c r="C28" s="1066"/>
      <c r="D28" s="1067"/>
      <c r="E28" s="1078"/>
      <c r="F28" s="621"/>
      <c r="G28" s="1079"/>
      <c r="H28" s="1081"/>
      <c r="I28" s="621"/>
      <c r="J28" s="621"/>
      <c r="K28" s="621"/>
      <c r="L28" s="621"/>
      <c r="O28" s="1069">
        <v>8</v>
      </c>
      <c r="P28" s="1069">
        <v>9</v>
      </c>
      <c r="Q28" s="1040" t="str">
        <f t="shared" si="2"/>
        <v>F96H</v>
      </c>
      <c r="R28" s="1070">
        <f t="shared" si="3"/>
        <v>0</v>
      </c>
      <c r="T28" s="1069"/>
      <c r="U28" s="1069"/>
      <c r="W28" s="1070"/>
    </row>
    <row r="29" spans="1:23" ht="15" customHeight="1">
      <c r="A29" s="1065" t="s">
        <v>595</v>
      </c>
      <c r="B29" s="1051" t="s">
        <v>544</v>
      </c>
      <c r="C29" s="1066"/>
      <c r="D29" s="1067"/>
      <c r="E29" s="1078"/>
      <c r="F29" s="621"/>
      <c r="G29" s="1079"/>
      <c r="H29" s="1081"/>
      <c r="I29" s="621"/>
      <c r="J29" s="621"/>
      <c r="K29" s="621"/>
      <c r="L29" s="621"/>
      <c r="O29" s="1069">
        <v>8</v>
      </c>
      <c r="P29" s="1069">
        <v>9</v>
      </c>
      <c r="Q29" s="1040" t="str">
        <f t="shared" si="2"/>
        <v>F995</v>
      </c>
      <c r="R29" s="1070">
        <f t="shared" si="3"/>
        <v>0</v>
      </c>
      <c r="T29" s="1069"/>
      <c r="U29" s="1069"/>
      <c r="W29" s="1070"/>
    </row>
    <row r="30" spans="1:23" ht="15" customHeight="1">
      <c r="A30" s="1065" t="s">
        <v>545</v>
      </c>
      <c r="B30" s="1051" t="s">
        <v>337</v>
      </c>
      <c r="C30" s="1066"/>
      <c r="D30" s="1067"/>
      <c r="E30" s="1078"/>
      <c r="F30" s="621"/>
      <c r="G30" s="1079"/>
      <c r="H30" s="1081"/>
      <c r="I30" s="621"/>
      <c r="J30" s="621"/>
      <c r="K30" s="621"/>
      <c r="L30" s="621"/>
      <c r="O30" s="1069">
        <v>8</v>
      </c>
      <c r="P30" s="1069">
        <v>9</v>
      </c>
      <c r="Q30" s="1040" t="str">
        <f t="shared" si="2"/>
        <v>F999</v>
      </c>
      <c r="R30" s="1070">
        <f t="shared" si="3"/>
        <v>0</v>
      </c>
      <c r="T30" s="1069"/>
      <c r="U30" s="1069"/>
      <c r="W30" s="1070"/>
    </row>
    <row r="31" spans="1:23" ht="15" customHeight="1" thickBot="1">
      <c r="A31" s="1073" t="s">
        <v>546</v>
      </c>
      <c r="B31" s="1077"/>
      <c r="C31" s="1075">
        <f>SUM(C20:C30)</f>
        <v>0</v>
      </c>
      <c r="D31" s="1067"/>
      <c r="E31" s="1078"/>
      <c r="F31" s="621"/>
      <c r="G31" s="1079"/>
      <c r="H31" s="1081"/>
      <c r="I31" s="621"/>
      <c r="J31" s="621"/>
      <c r="K31" s="621"/>
      <c r="L31" s="621"/>
      <c r="O31" s="1069"/>
      <c r="P31" s="1069"/>
      <c r="R31" s="1070"/>
      <c r="T31" s="1069"/>
      <c r="U31" s="1069"/>
      <c r="W31" s="1070"/>
    </row>
    <row r="32" spans="1:23" ht="15" customHeight="1">
      <c r="A32" s="1082" t="s">
        <v>1074</v>
      </c>
      <c r="B32" s="1083"/>
      <c r="C32" s="1084"/>
      <c r="D32" s="1067"/>
      <c r="E32" s="1078"/>
      <c r="F32" s="621"/>
      <c r="G32" s="1079"/>
      <c r="H32" s="1081"/>
      <c r="I32" s="621"/>
      <c r="J32" s="621"/>
      <c r="K32" s="621"/>
      <c r="L32" s="621"/>
      <c r="O32" s="1069"/>
      <c r="P32" s="1069"/>
      <c r="R32" s="1070"/>
      <c r="T32" s="1069"/>
      <c r="U32" s="1069"/>
      <c r="W32" s="1070"/>
    </row>
    <row r="33" spans="1:23" ht="15" customHeight="1">
      <c r="A33" s="1065" t="s">
        <v>585</v>
      </c>
      <c r="B33" s="1054" t="s">
        <v>537</v>
      </c>
      <c r="C33" s="1066"/>
      <c r="D33" s="1067"/>
      <c r="E33" s="1078"/>
      <c r="F33" s="621"/>
      <c r="G33" s="1079"/>
      <c r="H33" s="1081"/>
      <c r="I33" s="621"/>
      <c r="J33" s="621"/>
      <c r="K33" s="621"/>
      <c r="L33" s="621"/>
      <c r="O33" s="1069">
        <v>8</v>
      </c>
      <c r="P33" s="1069">
        <v>81</v>
      </c>
      <c r="Q33" s="1040" t="str">
        <f>B33</f>
        <v>F934</v>
      </c>
      <c r="R33" s="1070">
        <f>ROUND(C33,0)</f>
        <v>0</v>
      </c>
      <c r="T33" s="1069"/>
      <c r="U33" s="1069"/>
      <c r="W33" s="1070"/>
    </row>
    <row r="34" spans="1:23" ht="15" customHeight="1">
      <c r="A34" s="1065" t="s">
        <v>852</v>
      </c>
      <c r="B34" s="1054" t="s">
        <v>853</v>
      </c>
      <c r="C34" s="1066"/>
      <c r="D34" s="1067"/>
      <c r="E34" s="1078"/>
      <c r="F34" s="621"/>
      <c r="G34" s="1079"/>
      <c r="H34" s="1081"/>
      <c r="I34" s="621"/>
      <c r="J34" s="621"/>
      <c r="K34" s="621"/>
      <c r="L34" s="621"/>
      <c r="O34" s="1069">
        <v>8</v>
      </c>
      <c r="P34" s="1069">
        <v>81</v>
      </c>
      <c r="Q34" s="1040" t="str">
        <f>B34</f>
        <v>F27I</v>
      </c>
      <c r="R34" s="1070">
        <f>ROUND(C34,0)</f>
        <v>0</v>
      </c>
      <c r="T34" s="1069"/>
      <c r="U34" s="1069"/>
      <c r="W34" s="1070"/>
    </row>
    <row r="35" spans="1:23" ht="15" customHeight="1">
      <c r="A35" s="1065" t="s">
        <v>1075</v>
      </c>
      <c r="B35" s="1054" t="s">
        <v>1076</v>
      </c>
      <c r="C35" s="1066"/>
      <c r="D35" s="1067"/>
      <c r="E35" s="1078"/>
      <c r="F35" s="621"/>
      <c r="G35" s="1079"/>
      <c r="H35" s="1081"/>
      <c r="I35" s="621"/>
      <c r="J35" s="621"/>
      <c r="K35" s="621"/>
      <c r="L35" s="621"/>
      <c r="O35" s="1069">
        <v>8</v>
      </c>
      <c r="P35" s="1069">
        <v>81</v>
      </c>
      <c r="Q35" s="1040" t="str">
        <f>B35</f>
        <v>F00P</v>
      </c>
      <c r="R35" s="1070">
        <f>ROUND(C35,0)</f>
        <v>0</v>
      </c>
      <c r="T35" s="1069"/>
      <c r="U35" s="1069"/>
      <c r="W35" s="1070"/>
    </row>
    <row r="36" spans="1:23" ht="15" customHeight="1">
      <c r="A36" s="1065" t="s">
        <v>1077</v>
      </c>
      <c r="B36" s="1054" t="s">
        <v>1078</v>
      </c>
      <c r="C36" s="1072"/>
      <c r="D36" s="1067"/>
      <c r="E36" s="1078"/>
      <c r="F36" s="621"/>
      <c r="G36" s="1079"/>
      <c r="H36" s="1081"/>
      <c r="I36" s="621"/>
      <c r="J36" s="621"/>
      <c r="K36" s="621"/>
      <c r="L36" s="621"/>
      <c r="O36" s="1069">
        <v>8</v>
      </c>
      <c r="P36" s="1069">
        <v>81</v>
      </c>
      <c r="Q36" s="1040" t="str">
        <f>B36</f>
        <v>F01P</v>
      </c>
      <c r="R36" s="1070">
        <f>ROUND(C36,0)</f>
        <v>0</v>
      </c>
      <c r="T36" s="1069"/>
      <c r="U36" s="1069"/>
      <c r="W36" s="1070"/>
    </row>
    <row r="37" spans="1:23" ht="15" customHeight="1">
      <c r="A37" s="1272" t="s">
        <v>1079</v>
      </c>
      <c r="B37" s="1273"/>
      <c r="C37" s="1274">
        <f>SUM(C33:C36)</f>
        <v>0</v>
      </c>
      <c r="D37" s="1067"/>
      <c r="E37" s="1078"/>
      <c r="F37" s="621"/>
      <c r="G37" s="1079"/>
      <c r="H37" s="1081"/>
      <c r="I37" s="621"/>
      <c r="J37" s="621"/>
      <c r="K37" s="621"/>
      <c r="L37" s="621"/>
      <c r="O37" s="1069" t="s">
        <v>746</v>
      </c>
      <c r="P37" s="1069"/>
      <c r="R37" s="1070"/>
      <c r="T37" s="1069"/>
      <c r="U37" s="1069"/>
      <c r="W37" s="1070"/>
    </row>
    <row r="38" spans="1:23" ht="15" customHeight="1" thickBot="1">
      <c r="A38" s="1275" t="s">
        <v>814</v>
      </c>
      <c r="B38" s="1077"/>
      <c r="C38" s="1075">
        <f>C18+C31-C37</f>
        <v>0</v>
      </c>
      <c r="D38" s="1059"/>
      <c r="E38" s="1078"/>
      <c r="F38" s="621"/>
      <c r="G38" s="1079"/>
      <c r="H38" s="1081"/>
      <c r="I38" s="621"/>
      <c r="J38" s="621"/>
      <c r="K38" s="621"/>
      <c r="L38" s="621"/>
      <c r="O38" s="1069"/>
      <c r="P38" s="1069"/>
      <c r="R38" s="1070"/>
      <c r="T38" s="1069"/>
      <c r="U38" s="1069"/>
      <c r="W38" s="1070"/>
    </row>
    <row r="39" spans="1:23" ht="15" customHeight="1">
      <c r="A39" s="1276"/>
      <c r="B39" s="1277"/>
      <c r="C39" s="1278"/>
      <c r="D39" s="1059"/>
      <c r="E39" s="1085"/>
      <c r="F39" s="1086"/>
      <c r="G39" s="1079"/>
      <c r="H39" s="1081"/>
      <c r="I39" s="621"/>
      <c r="J39" s="621"/>
      <c r="K39" s="621"/>
      <c r="L39" s="621"/>
      <c r="P39" s="1069"/>
      <c r="R39" s="1070"/>
      <c r="T39" s="1069"/>
      <c r="U39" s="1069"/>
      <c r="W39" s="1070"/>
    </row>
    <row r="40" spans="1:23" ht="15" customHeight="1" thickBot="1">
      <c r="A40" s="1279"/>
      <c r="B40" s="1280"/>
      <c r="C40" s="1127"/>
      <c r="D40" s="1059"/>
      <c r="E40" s="1087"/>
      <c r="F40" s="1088"/>
      <c r="G40" s="1089"/>
      <c r="H40" s="1081"/>
      <c r="I40" s="621"/>
      <c r="J40" s="621"/>
      <c r="K40" s="621"/>
      <c r="L40" s="621"/>
      <c r="O40" s="1069"/>
      <c r="P40" s="1069"/>
      <c r="R40" s="1070"/>
      <c r="T40" s="1069"/>
      <c r="U40" s="1069"/>
      <c r="W40" s="1070"/>
    </row>
    <row r="41" spans="1:23" s="1041" customFormat="1" ht="15" customHeight="1" thickBot="1">
      <c r="A41" s="1281" t="s">
        <v>1108</v>
      </c>
      <c r="B41" s="1282"/>
      <c r="C41" s="1103">
        <f>C38</f>
        <v>0</v>
      </c>
      <c r="D41" s="1067"/>
      <c r="E41" s="1119" t="s">
        <v>1109</v>
      </c>
      <c r="F41" s="1120"/>
      <c r="G41" s="1075">
        <f>G11</f>
        <v>0</v>
      </c>
      <c r="H41" s="1081"/>
      <c r="I41" s="1096"/>
      <c r="J41" s="1096"/>
      <c r="K41" s="1096"/>
      <c r="L41" s="1096"/>
      <c r="O41" s="1069"/>
      <c r="P41" s="1069"/>
      <c r="Q41" s="1040"/>
      <c r="T41" s="1069"/>
      <c r="U41" s="1069"/>
      <c r="V41" s="1040"/>
    </row>
    <row r="42" spans="1:23" ht="10.5" customHeight="1">
      <c r="D42" s="1283"/>
      <c r="G42" s="621"/>
      <c r="H42" s="1081"/>
      <c r="I42" s="621"/>
      <c r="J42" s="621"/>
      <c r="K42" s="621"/>
      <c r="L42" s="621"/>
      <c r="O42" s="1069"/>
      <c r="P42" s="1069"/>
      <c r="T42" s="1069"/>
      <c r="U42" s="1069"/>
    </row>
    <row r="43" spans="1:23" ht="15" customHeight="1">
      <c r="A43" s="1094" t="s">
        <v>220</v>
      </c>
      <c r="H43" s="1081"/>
      <c r="I43" s="621"/>
      <c r="J43" s="621"/>
      <c r="K43" s="621"/>
      <c r="L43" s="621"/>
      <c r="O43" s="1069"/>
      <c r="P43" s="1069"/>
      <c r="T43" s="1069"/>
      <c r="U43" s="1069"/>
    </row>
    <row r="44" spans="1:23" ht="15" customHeight="1">
      <c r="A44" s="1094" t="s">
        <v>621</v>
      </c>
      <c r="H44" s="1081"/>
      <c r="I44" s="621"/>
      <c r="J44" s="621"/>
      <c r="K44" s="621"/>
      <c r="L44" s="621"/>
    </row>
    <row r="45" spans="1:23" ht="15" customHeight="1">
      <c r="H45" s="1081"/>
      <c r="I45" s="621"/>
      <c r="J45" s="621"/>
      <c r="K45" s="621"/>
      <c r="L45" s="621"/>
      <c r="O45" s="1095"/>
      <c r="P45" s="1095"/>
      <c r="T45" s="1095"/>
      <c r="U45" s="1095"/>
    </row>
    <row r="46" spans="1:23" ht="15" customHeight="1"/>
  </sheetData>
  <sheetProtection password="EA98" sheet="1" selectLockedCells="1"/>
  <mergeCells count="3">
    <mergeCell ref="H4:H9"/>
    <mergeCell ref="H11:H16"/>
    <mergeCell ref="H18:H23"/>
  </mergeCells>
  <dataValidations count="2">
    <dataValidation type="whole" allowBlank="1" showInputMessage="1" showErrorMessage="1" errorTitle="ERRORE NEL DATO IMMESSO" error="INSERIRE SOLO NUMERI INTERI" sqref="C18 G39:G40 G10:G11 C31 C37:C39">
      <formula1>-999999999999</formula1>
      <formula2>999999999999</formula2>
    </dataValidation>
    <dataValidation type="whole" allowBlank="1" showInputMessage="1" showErrorMessage="1" errorTitle="ERRORE NEL DATO IMMESSO" error="INSERIRE SOLO NUMERI INTERI" sqref="C20:C30 C7:C17 G7:G9 C33:C36">
      <formula1>0</formula1>
      <formula2>999999999999</formula2>
    </dataValidation>
  </dataValidations>
  <printOptions horizontalCentered="1" verticalCentered="1"/>
  <pageMargins left="0" right="0" top="0.19685039370078741" bottom="0.17" header="0.51181102362204722" footer="0.19"/>
  <pageSetup paperSize="9" scale="80" orientation="landscape" horizontalDpi="300" verticalDpi="4294967292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48"/>
  <sheetViews>
    <sheetView showGridLines="0" zoomScale="75" zoomScaleNormal="75" workbookViewId="0">
      <selection activeCell="C7" sqref="C7"/>
    </sheetView>
  </sheetViews>
  <sheetFormatPr defaultColWidth="9.28515625" defaultRowHeight="10.199999999999999"/>
  <cols>
    <col min="1" max="1" width="67.42578125" style="620" customWidth="1"/>
    <col min="2" max="2" width="11.42578125" style="1093" customWidth="1"/>
    <col min="3" max="3" width="20.85546875" style="620" customWidth="1"/>
    <col min="4" max="4" width="2.85546875" style="620" customWidth="1"/>
    <col min="5" max="5" width="67.42578125" style="620" customWidth="1"/>
    <col min="6" max="6" width="11.42578125" style="620" customWidth="1"/>
    <col min="7" max="7" width="20.85546875" style="620" customWidth="1"/>
    <col min="8" max="8" width="40.85546875" style="620" customWidth="1"/>
    <col min="9" max="14" width="9.28515625" style="620"/>
    <col min="15" max="17" width="14.140625" style="1040" hidden="1" customWidth="1"/>
    <col min="18" max="18" width="14.140625" style="1041" hidden="1" customWidth="1"/>
    <col min="19" max="19" width="9.28515625" style="1041" hidden="1" customWidth="1"/>
    <col min="20" max="22" width="14.140625" style="1040" hidden="1" customWidth="1"/>
    <col min="23" max="23" width="14.140625" style="1041" hidden="1" customWidth="1"/>
    <col min="24" max="24" width="9.28515625" style="620" customWidth="1"/>
    <col min="25" max="16384" width="9.28515625" style="620"/>
  </cols>
  <sheetData>
    <row r="1" spans="1:23" s="1035" customFormat="1" ht="43.5" customHeight="1">
      <c r="A1" s="1033" t="str">
        <f>'t1'!$A$1</f>
        <v>COMPARTO REGIONI ED AUTONOMIE LOCALI - anno 2017</v>
      </c>
      <c r="B1" s="1033"/>
      <c r="C1" s="1033"/>
      <c r="D1" s="1033"/>
      <c r="E1" s="1033"/>
      <c r="F1" s="1033"/>
      <c r="G1" s="1033"/>
      <c r="H1" s="1034" t="s">
        <v>352</v>
      </c>
      <c r="I1" s="620"/>
      <c r="O1" s="1036"/>
      <c r="P1" s="1036"/>
      <c r="Q1" s="1037"/>
      <c r="R1" s="1038"/>
      <c r="S1" s="1038"/>
      <c r="T1" s="1036"/>
      <c r="U1" s="1036"/>
      <c r="V1" s="1037"/>
      <c r="W1" s="1038"/>
    </row>
    <row r="2" spans="1:23" ht="42" customHeight="1" thickBot="1">
      <c r="B2" s="620"/>
      <c r="E2" s="1039"/>
      <c r="F2" s="1039"/>
      <c r="G2" s="1039"/>
      <c r="O2" s="1036"/>
      <c r="P2" s="1036"/>
      <c r="T2" s="1036"/>
      <c r="U2" s="1036"/>
    </row>
    <row r="3" spans="1:23" ht="25.5" customHeight="1" thickBot="1">
      <c r="A3" s="1042" t="s">
        <v>27</v>
      </c>
      <c r="B3" s="1043"/>
      <c r="C3" s="1044"/>
      <c r="D3" s="1045"/>
      <c r="E3" s="1042" t="s">
        <v>28</v>
      </c>
      <c r="F3" s="1046"/>
      <c r="G3" s="1047"/>
      <c r="H3" s="1025" t="s">
        <v>1022</v>
      </c>
      <c r="O3" s="1049"/>
      <c r="P3" s="1049"/>
      <c r="T3" s="1049"/>
      <c r="U3" s="1049"/>
    </row>
    <row r="4" spans="1:23" ht="18" customHeight="1">
      <c r="A4" s="1050" t="s">
        <v>162</v>
      </c>
      <c r="B4" s="1051" t="s">
        <v>163</v>
      </c>
      <c r="C4" s="1052" t="s">
        <v>282</v>
      </c>
      <c r="D4" s="1053"/>
      <c r="E4" s="1050" t="s">
        <v>162</v>
      </c>
      <c r="F4" s="1054" t="s">
        <v>163</v>
      </c>
      <c r="G4" s="1055" t="s">
        <v>282</v>
      </c>
      <c r="H4" s="1502" t="str">
        <f>IF(AND(C43=0,ISBLANK('SICI(2)'!E17),ISBLANK('SICI(2)'!E19),ISBLANK('SICI(2)'!E21)),"OK",IF(AND(C43&gt;0,ISBLANK('SICI(2)'!E17),ISBLANK('SICI(2)'!E19),ISBLANK('SICI(2)'!E21)),"Attenzione: inserire le voci di costituzione del fondo unicamente in presenza di certificazione dello stesso !!!","OK"))</f>
        <v>Attenzione: inserire le voci di costituzione del fondo unicamente in presenza di certificazione dello stesso !!!</v>
      </c>
    </row>
    <row r="5" spans="1:23" ht="15" customHeight="1">
      <c r="A5" s="1056" t="s">
        <v>1031</v>
      </c>
      <c r="B5" s="1057"/>
      <c r="C5" s="1058"/>
      <c r="D5" s="1059"/>
      <c r="E5" s="1056" t="s">
        <v>1031</v>
      </c>
      <c r="F5" s="1057"/>
      <c r="G5" s="1058"/>
      <c r="H5" s="1503"/>
      <c r="O5" s="1135" t="s">
        <v>1024</v>
      </c>
      <c r="P5" s="1060"/>
      <c r="Q5" s="1061"/>
      <c r="R5" s="1061"/>
      <c r="T5" s="1135" t="s">
        <v>1025</v>
      </c>
      <c r="U5" s="1060"/>
      <c r="V5" s="1061"/>
      <c r="W5" s="1061"/>
    </row>
    <row r="6" spans="1:23" ht="15" customHeight="1">
      <c r="A6" s="1062" t="s">
        <v>1026</v>
      </c>
      <c r="B6" s="1063"/>
      <c r="C6" s="1064"/>
      <c r="D6" s="1059"/>
      <c r="E6" s="1270" t="s">
        <v>1071</v>
      </c>
      <c r="F6" s="1063"/>
      <c r="G6" s="1064"/>
      <c r="H6" s="1503"/>
      <c r="O6" s="1136" t="s">
        <v>1027</v>
      </c>
      <c r="P6" s="1136" t="s">
        <v>1028</v>
      </c>
      <c r="Q6" s="1136" t="s">
        <v>1029</v>
      </c>
      <c r="R6" s="1136" t="s">
        <v>915</v>
      </c>
      <c r="T6" s="1136" t="s">
        <v>1027</v>
      </c>
      <c r="U6" s="1136" t="s">
        <v>1028</v>
      </c>
      <c r="V6" s="1136" t="s">
        <v>1029</v>
      </c>
      <c r="W6" s="1136" t="s">
        <v>915</v>
      </c>
    </row>
    <row r="7" spans="1:23" ht="15" customHeight="1">
      <c r="A7" s="1065" t="s">
        <v>602</v>
      </c>
      <c r="B7" s="1137" t="s">
        <v>421</v>
      </c>
      <c r="C7" s="1066">
        <v>9000</v>
      </c>
      <c r="D7" s="1059"/>
      <c r="E7" s="1065" t="s">
        <v>614</v>
      </c>
      <c r="F7" s="1054" t="s">
        <v>610</v>
      </c>
      <c r="G7" s="1066"/>
      <c r="H7" s="1503"/>
      <c r="O7" s="1069">
        <v>25</v>
      </c>
      <c r="P7" s="1069">
        <v>7</v>
      </c>
      <c r="Q7" s="1040" t="str">
        <f>B7</f>
        <v>F556</v>
      </c>
      <c r="R7" s="1070">
        <f t="shared" ref="R7:R18" si="0">ROUND(C7,0)</f>
        <v>9000</v>
      </c>
      <c r="T7" s="1069">
        <v>25</v>
      </c>
      <c r="U7" s="1069">
        <v>61</v>
      </c>
      <c r="V7" s="1071" t="str">
        <f>F7</f>
        <v>U07A</v>
      </c>
      <c r="W7" s="1070">
        <f>ROUND(G7,0)</f>
        <v>0</v>
      </c>
    </row>
    <row r="8" spans="1:23" ht="15" customHeight="1">
      <c r="A8" s="1065" t="s">
        <v>603</v>
      </c>
      <c r="B8" s="1051" t="s">
        <v>598</v>
      </c>
      <c r="C8" s="1066">
        <v>856</v>
      </c>
      <c r="D8" s="1059"/>
      <c r="E8" s="1065" t="s">
        <v>657</v>
      </c>
      <c r="F8" s="1054" t="s">
        <v>13</v>
      </c>
      <c r="G8" s="1068"/>
      <c r="H8" s="1503"/>
      <c r="O8" s="1069">
        <v>25</v>
      </c>
      <c r="P8" s="1069">
        <v>7</v>
      </c>
      <c r="Q8" s="1040" t="str">
        <f t="shared" ref="Q8:Q18" si="1">B8</f>
        <v>F61G</v>
      </c>
      <c r="R8" s="1070">
        <f t="shared" si="0"/>
        <v>856</v>
      </c>
      <c r="T8" s="1069">
        <v>25</v>
      </c>
      <c r="U8" s="1069">
        <v>61</v>
      </c>
      <c r="V8" s="1071" t="str">
        <f>F8</f>
        <v>U255</v>
      </c>
      <c r="W8" s="1070">
        <f>ROUND(G8,0)</f>
        <v>0</v>
      </c>
    </row>
    <row r="9" spans="1:23" ht="15" customHeight="1" thickBot="1">
      <c r="A9" s="1065" t="s">
        <v>604</v>
      </c>
      <c r="B9" s="1051" t="s">
        <v>599</v>
      </c>
      <c r="C9" s="1066"/>
      <c r="D9" s="1059"/>
      <c r="E9" s="1065" t="s">
        <v>854</v>
      </c>
      <c r="F9" s="1054" t="s">
        <v>855</v>
      </c>
      <c r="G9" s="1068"/>
      <c r="H9" s="1504"/>
      <c r="O9" s="1069">
        <v>25</v>
      </c>
      <c r="P9" s="1069">
        <v>7</v>
      </c>
      <c r="Q9" s="1040" t="str">
        <f t="shared" si="1"/>
        <v>F62G</v>
      </c>
      <c r="R9" s="1070">
        <f t="shared" si="0"/>
        <v>0</v>
      </c>
      <c r="T9" s="1069">
        <v>25</v>
      </c>
      <c r="U9" s="1069">
        <v>61</v>
      </c>
      <c r="V9" s="1071" t="str">
        <f>F9</f>
        <v>U97H</v>
      </c>
      <c r="W9" s="1070">
        <f>ROUND(G9,0)</f>
        <v>0</v>
      </c>
    </row>
    <row r="10" spans="1:23" ht="15" customHeight="1" thickBot="1">
      <c r="A10" s="1065" t="s">
        <v>605</v>
      </c>
      <c r="B10" s="1051" t="s">
        <v>600</v>
      </c>
      <c r="C10" s="1066"/>
      <c r="D10" s="1059"/>
      <c r="E10" s="1065" t="s">
        <v>1080</v>
      </c>
      <c r="F10" s="1054" t="s">
        <v>1081</v>
      </c>
      <c r="G10" s="1068"/>
      <c r="H10" s="1076" t="s">
        <v>1030</v>
      </c>
      <c r="O10" s="1069">
        <v>25</v>
      </c>
      <c r="P10" s="1069">
        <v>7</v>
      </c>
      <c r="Q10" s="1040" t="str">
        <f t="shared" si="1"/>
        <v>F63G</v>
      </c>
      <c r="R10" s="1070">
        <f t="shared" si="0"/>
        <v>0</v>
      </c>
      <c r="T10" s="1069">
        <v>25</v>
      </c>
      <c r="U10" s="1069">
        <v>61</v>
      </c>
      <c r="V10" s="1071" t="str">
        <f>F10</f>
        <v>U00A</v>
      </c>
      <c r="W10" s="1070">
        <f>ROUND(G10,0)</f>
        <v>0</v>
      </c>
    </row>
    <row r="11" spans="1:23" ht="15" customHeight="1">
      <c r="A11" s="1065" t="s">
        <v>645</v>
      </c>
      <c r="B11" s="1051" t="s">
        <v>646</v>
      </c>
      <c r="C11" s="1066"/>
      <c r="D11" s="1059"/>
      <c r="E11" s="1065" t="s">
        <v>1082</v>
      </c>
      <c r="F11" s="1054" t="s">
        <v>1083</v>
      </c>
      <c r="G11" s="1068"/>
      <c r="H11" s="1502" t="str">
        <f>IF(OR(AND(C43=0,G43=0),ROUND(C43,0)&lt;&gt;ROUND(G43,0)),"OK","Attenzione: le risorse del fondo coincidono esattamente con i relativi impeghi, è necessario giustificare")</f>
        <v>OK</v>
      </c>
      <c r="O11" s="1069">
        <v>25</v>
      </c>
      <c r="P11" s="1069">
        <v>7</v>
      </c>
      <c r="Q11" s="1040" t="str">
        <f t="shared" si="1"/>
        <v>F70A</v>
      </c>
      <c r="R11" s="1070">
        <f t="shared" si="0"/>
        <v>0</v>
      </c>
      <c r="T11" s="1069">
        <v>25</v>
      </c>
      <c r="U11" s="1069">
        <v>61</v>
      </c>
      <c r="V11" s="1071" t="str">
        <f>F12</f>
        <v>U08A</v>
      </c>
      <c r="W11" s="1070">
        <f>ROUND(G12,0)</f>
        <v>0</v>
      </c>
    </row>
    <row r="12" spans="1:23" ht="15" customHeight="1">
      <c r="A12" s="1065" t="s">
        <v>647</v>
      </c>
      <c r="B12" s="1051" t="s">
        <v>601</v>
      </c>
      <c r="C12" s="1066">
        <v>373</v>
      </c>
      <c r="D12" s="1059"/>
      <c r="E12" s="1065" t="s">
        <v>615</v>
      </c>
      <c r="F12" s="1054" t="s">
        <v>611</v>
      </c>
      <c r="G12" s="1068"/>
      <c r="H12" s="1503"/>
      <c r="O12" s="1069">
        <v>25</v>
      </c>
      <c r="P12" s="1069">
        <v>7</v>
      </c>
      <c r="Q12" s="1040" t="str">
        <f t="shared" si="1"/>
        <v>F64G</v>
      </c>
      <c r="R12" s="1070">
        <f t="shared" si="0"/>
        <v>373</v>
      </c>
      <c r="T12" s="1069">
        <v>25</v>
      </c>
      <c r="U12" s="1069">
        <v>61</v>
      </c>
      <c r="V12" s="1071" t="str">
        <f>F13</f>
        <v>U257</v>
      </c>
      <c r="W12" s="1070">
        <f>ROUND(G13,0)</f>
        <v>0</v>
      </c>
    </row>
    <row r="13" spans="1:23" ht="15" customHeight="1">
      <c r="A13" s="1065" t="s">
        <v>1084</v>
      </c>
      <c r="B13" s="1051" t="s">
        <v>1085</v>
      </c>
      <c r="C13" s="1066"/>
      <c r="D13" s="1059"/>
      <c r="E13" s="1065" t="s">
        <v>616</v>
      </c>
      <c r="F13" s="1054" t="s">
        <v>14</v>
      </c>
      <c r="G13" s="1068"/>
      <c r="H13" s="1503"/>
      <c r="O13" s="1069">
        <v>25</v>
      </c>
      <c r="P13" s="1069">
        <v>7</v>
      </c>
      <c r="Q13" s="1040" t="str">
        <f t="shared" si="1"/>
        <v>F00Z</v>
      </c>
      <c r="R13" s="1070">
        <f t="shared" si="0"/>
        <v>0</v>
      </c>
      <c r="T13" s="1069">
        <v>25</v>
      </c>
      <c r="U13" s="1069">
        <v>61</v>
      </c>
      <c r="V13" s="1071" t="str">
        <f>F14</f>
        <v>U09A</v>
      </c>
      <c r="W13" s="1070">
        <f>ROUND(G14,0)</f>
        <v>0</v>
      </c>
    </row>
    <row r="14" spans="1:23" ht="15" customHeight="1">
      <c r="A14" s="1065" t="s">
        <v>648</v>
      </c>
      <c r="B14" s="1051" t="s">
        <v>649</v>
      </c>
      <c r="C14" s="1066">
        <v>790</v>
      </c>
      <c r="D14" s="1059"/>
      <c r="E14" s="1065" t="s">
        <v>617</v>
      </c>
      <c r="F14" s="1054" t="s">
        <v>612</v>
      </c>
      <c r="G14" s="1068"/>
      <c r="H14" s="1503"/>
      <c r="O14" s="1069">
        <v>25</v>
      </c>
      <c r="P14" s="1069">
        <v>7</v>
      </c>
      <c r="Q14" s="1040" t="str">
        <f t="shared" si="1"/>
        <v>F81H</v>
      </c>
      <c r="R14" s="1070">
        <f t="shared" si="0"/>
        <v>790</v>
      </c>
      <c r="T14" s="1069">
        <v>25</v>
      </c>
      <c r="U14" s="1069">
        <v>61</v>
      </c>
      <c r="V14" s="1071" t="str">
        <f>F15</f>
        <v>U10A</v>
      </c>
      <c r="W14" s="1070">
        <f>ROUND(G15,0)</f>
        <v>0</v>
      </c>
    </row>
    <row r="15" spans="1:23" ht="15" customHeight="1">
      <c r="A15" s="1065" t="s">
        <v>650</v>
      </c>
      <c r="B15" s="1051" t="s">
        <v>651</v>
      </c>
      <c r="C15" s="1066"/>
      <c r="D15" s="1059"/>
      <c r="E15" s="1065" t="s">
        <v>618</v>
      </c>
      <c r="F15" s="1054" t="s">
        <v>613</v>
      </c>
      <c r="G15" s="1068"/>
      <c r="H15" s="1503"/>
      <c r="O15" s="1069">
        <v>25</v>
      </c>
      <c r="P15" s="1069">
        <v>7</v>
      </c>
      <c r="Q15" s="1040" t="str">
        <f t="shared" si="1"/>
        <v>F82H</v>
      </c>
      <c r="R15" s="1070">
        <f t="shared" si="0"/>
        <v>0</v>
      </c>
      <c r="T15" s="1069">
        <v>25</v>
      </c>
      <c r="U15" s="1069">
        <v>61</v>
      </c>
      <c r="V15" s="1071" t="str">
        <f>F11</f>
        <v>U00B</v>
      </c>
      <c r="W15" s="1070">
        <f>ROUND(G11,0)</f>
        <v>0</v>
      </c>
    </row>
    <row r="16" spans="1:23" ht="15" customHeight="1" thickBot="1">
      <c r="A16" s="1065" t="s">
        <v>652</v>
      </c>
      <c r="B16" s="1051" t="s">
        <v>653</v>
      </c>
      <c r="C16" s="1066"/>
      <c r="D16" s="1059"/>
      <c r="E16" s="1065" t="s">
        <v>620</v>
      </c>
      <c r="F16" s="1054" t="s">
        <v>15</v>
      </c>
      <c r="G16" s="1068"/>
      <c r="H16" s="1504"/>
      <c r="O16" s="1069">
        <v>25</v>
      </c>
      <c r="P16" s="1069">
        <v>7</v>
      </c>
      <c r="Q16" s="1040" t="str">
        <f t="shared" si="1"/>
        <v>F83H</v>
      </c>
      <c r="R16" s="1070">
        <f t="shared" si="0"/>
        <v>0</v>
      </c>
      <c r="T16" s="1069">
        <v>25</v>
      </c>
      <c r="U16" s="1069">
        <v>61</v>
      </c>
      <c r="V16" s="1071" t="str">
        <f t="shared" ref="V16:V22" si="2">F16</f>
        <v>U262</v>
      </c>
      <c r="W16" s="1070">
        <f t="shared" ref="W16:W22" si="3">ROUND(G16,0)</f>
        <v>0</v>
      </c>
    </row>
    <row r="17" spans="1:23" ht="15" customHeight="1" thickBot="1">
      <c r="A17" s="1065" t="s">
        <v>606</v>
      </c>
      <c r="B17" s="1051" t="s">
        <v>4</v>
      </c>
      <c r="C17" s="1066">
        <v>2565</v>
      </c>
      <c r="D17" s="1059"/>
      <c r="E17" s="1065" t="s">
        <v>1086</v>
      </c>
      <c r="F17" s="1054" t="s">
        <v>1087</v>
      </c>
      <c r="G17" s="1068"/>
      <c r="H17" s="1076" t="s">
        <v>1073</v>
      </c>
      <c r="O17" s="1069">
        <v>25</v>
      </c>
      <c r="P17" s="1069">
        <v>7</v>
      </c>
      <c r="Q17" s="1040" t="str">
        <f t="shared" si="1"/>
        <v>F919</v>
      </c>
      <c r="R17" s="1070">
        <f t="shared" si="0"/>
        <v>2565</v>
      </c>
      <c r="T17" s="1069">
        <v>25</v>
      </c>
      <c r="U17" s="1069">
        <v>61</v>
      </c>
      <c r="V17" s="1071" t="str">
        <f t="shared" si="2"/>
        <v>U22I</v>
      </c>
      <c r="W17" s="1070">
        <f t="shared" si="3"/>
        <v>0</v>
      </c>
    </row>
    <row r="18" spans="1:23" ht="15" customHeight="1">
      <c r="A18" s="1065" t="s">
        <v>584</v>
      </c>
      <c r="B18" s="1051" t="s">
        <v>336</v>
      </c>
      <c r="C18" s="1066"/>
      <c r="D18" s="1059"/>
      <c r="E18" s="1065" t="s">
        <v>1088</v>
      </c>
      <c r="F18" s="1054" t="s">
        <v>1089</v>
      </c>
      <c r="G18" s="1068"/>
      <c r="H18" s="1502" t="str">
        <f>IF(C43=0,"OK",IF(AND(C18/C43&lt;0.1,C34/C43&lt;0.1),"OK","Attenzione: la voce altre risorse fisse e/o la voce altre risorse variabili risulta maggiore del 10% del fondo, è necessario giustificare"))</f>
        <v>OK</v>
      </c>
      <c r="O18" s="1069">
        <v>25</v>
      </c>
      <c r="P18" s="1069">
        <v>7</v>
      </c>
      <c r="Q18" s="1040" t="str">
        <f t="shared" si="1"/>
        <v>F998</v>
      </c>
      <c r="R18" s="1070">
        <f t="shared" si="0"/>
        <v>0</v>
      </c>
      <c r="T18" s="1069">
        <v>25</v>
      </c>
      <c r="U18" s="1069">
        <v>61</v>
      </c>
      <c r="V18" s="1071" t="str">
        <f t="shared" si="2"/>
        <v>U23I</v>
      </c>
      <c r="W18" s="1070">
        <f t="shared" si="3"/>
        <v>0</v>
      </c>
    </row>
    <row r="19" spans="1:23" s="1122" customFormat="1" ht="15" customHeight="1" thickBot="1">
      <c r="A19" s="1073" t="s">
        <v>540</v>
      </c>
      <c r="B19" s="1074"/>
      <c r="C19" s="1075">
        <f>SUM(C7:C18)</f>
        <v>13584</v>
      </c>
      <c r="D19" s="1059"/>
      <c r="E19" s="1065" t="s">
        <v>1090</v>
      </c>
      <c r="F19" s="1054" t="s">
        <v>1091</v>
      </c>
      <c r="G19" s="1068"/>
      <c r="H19" s="1503"/>
      <c r="O19" s="1069"/>
      <c r="P19" s="1069"/>
      <c r="Q19" s="1040"/>
      <c r="R19" s="1070"/>
      <c r="S19" s="1125"/>
      <c r="T19" s="1069">
        <v>25</v>
      </c>
      <c r="U19" s="1069">
        <v>61</v>
      </c>
      <c r="V19" s="1071" t="str">
        <f t="shared" si="2"/>
        <v>U24I</v>
      </c>
      <c r="W19" s="1070">
        <f t="shared" si="3"/>
        <v>0</v>
      </c>
    </row>
    <row r="20" spans="1:23" s="1122" customFormat="1" ht="15" customHeight="1">
      <c r="A20" s="1097" t="s">
        <v>541</v>
      </c>
      <c r="B20" s="1098"/>
      <c r="C20" s="1099"/>
      <c r="D20" s="1121"/>
      <c r="E20" s="1065" t="s">
        <v>1092</v>
      </c>
      <c r="F20" s="1054" t="s">
        <v>1093</v>
      </c>
      <c r="G20" s="1068"/>
      <c r="H20" s="1503"/>
      <c r="O20" s="1069"/>
      <c r="P20" s="1069"/>
      <c r="Q20" s="1040"/>
      <c r="R20" s="1070"/>
      <c r="S20" s="1125"/>
      <c r="T20" s="1069">
        <v>25</v>
      </c>
      <c r="U20" s="1069">
        <v>61</v>
      </c>
      <c r="V20" s="1071" t="str">
        <f t="shared" si="2"/>
        <v>U25I</v>
      </c>
      <c r="W20" s="1070">
        <f t="shared" si="3"/>
        <v>0</v>
      </c>
    </row>
    <row r="21" spans="1:23" ht="15" customHeight="1">
      <c r="A21" s="1065" t="s">
        <v>641</v>
      </c>
      <c r="B21" s="1051" t="s">
        <v>642</v>
      </c>
      <c r="C21" s="1066"/>
      <c r="D21" s="1121"/>
      <c r="E21" s="1065" t="s">
        <v>655</v>
      </c>
      <c r="F21" s="1054" t="s">
        <v>1094</v>
      </c>
      <c r="G21" s="1068"/>
      <c r="H21" s="1503"/>
      <c r="O21" s="1069">
        <v>25</v>
      </c>
      <c r="P21" s="1069">
        <v>9</v>
      </c>
      <c r="Q21" s="1040" t="str">
        <f>B21</f>
        <v>F50H</v>
      </c>
      <c r="R21" s="1070">
        <f>ROUND(C21,0)</f>
        <v>0</v>
      </c>
      <c r="T21" s="1069">
        <v>25</v>
      </c>
      <c r="U21" s="1069">
        <v>61</v>
      </c>
      <c r="V21" s="1071" t="str">
        <f t="shared" si="2"/>
        <v>U26I</v>
      </c>
      <c r="W21" s="1070">
        <f t="shared" si="3"/>
        <v>0</v>
      </c>
    </row>
    <row r="22" spans="1:23" ht="15" customHeight="1">
      <c r="A22" s="1100" t="s">
        <v>643</v>
      </c>
      <c r="B22" s="1051" t="s">
        <v>644</v>
      </c>
      <c r="C22" s="1066"/>
      <c r="D22" s="1059"/>
      <c r="E22" s="976" t="s">
        <v>619</v>
      </c>
      <c r="F22" s="977" t="s">
        <v>338</v>
      </c>
      <c r="G22" s="1284"/>
      <c r="H22" s="1503"/>
      <c r="O22" s="1069">
        <v>25</v>
      </c>
      <c r="P22" s="1069">
        <v>9</v>
      </c>
      <c r="Q22" s="1040" t="str">
        <f t="shared" ref="Q22:Q35" si="4">B22</f>
        <v>F51H</v>
      </c>
      <c r="R22" s="1070">
        <f t="shared" ref="R22:R35" si="5">ROUND(C22,0)</f>
        <v>0</v>
      </c>
      <c r="T22" s="1069">
        <v>25</v>
      </c>
      <c r="U22" s="1069">
        <v>61</v>
      </c>
      <c r="V22" s="1071" t="str">
        <f t="shared" si="2"/>
        <v>U998</v>
      </c>
      <c r="W22" s="1070">
        <f t="shared" si="3"/>
        <v>0</v>
      </c>
    </row>
    <row r="23" spans="1:23" ht="15" customHeight="1" thickBot="1">
      <c r="A23" s="1100" t="s">
        <v>1033</v>
      </c>
      <c r="B23" s="1054" t="s">
        <v>1034</v>
      </c>
      <c r="C23" s="1117"/>
      <c r="D23" s="1059"/>
      <c r="E23" s="1271" t="s">
        <v>1072</v>
      </c>
      <c r="F23" s="1074"/>
      <c r="G23" s="1075">
        <f>SUM(G7:G22)</f>
        <v>0</v>
      </c>
      <c r="H23" s="1504"/>
      <c r="O23" s="1069">
        <v>25</v>
      </c>
      <c r="P23" s="1069">
        <v>9</v>
      </c>
      <c r="Q23" s="1040" t="str">
        <f t="shared" si="4"/>
        <v>F00N</v>
      </c>
      <c r="R23" s="1070">
        <f t="shared" si="5"/>
        <v>0</v>
      </c>
      <c r="T23" s="1069" t="s">
        <v>746</v>
      </c>
      <c r="U23" s="1069"/>
    </row>
    <row r="24" spans="1:23" ht="15" customHeight="1" thickBot="1">
      <c r="A24" s="1065" t="s">
        <v>1095</v>
      </c>
      <c r="B24" s="1054" t="s">
        <v>1096</v>
      </c>
      <c r="C24" s="1066"/>
      <c r="D24" s="1059"/>
      <c r="E24" s="1090" t="s">
        <v>802</v>
      </c>
      <c r="F24" s="1299"/>
      <c r="G24" s="1104">
        <f>G23</f>
        <v>0</v>
      </c>
      <c r="H24" s="1081"/>
      <c r="I24" s="621"/>
      <c r="J24" s="1276"/>
      <c r="O24" s="1069">
        <v>25</v>
      </c>
      <c r="P24" s="1069">
        <v>9</v>
      </c>
      <c r="Q24" s="1040" t="str">
        <f t="shared" si="4"/>
        <v>F00Q</v>
      </c>
      <c r="R24" s="1070">
        <f t="shared" si="5"/>
        <v>0</v>
      </c>
      <c r="T24" s="1069"/>
      <c r="U24" s="1069"/>
    </row>
    <row r="25" spans="1:23" ht="15" customHeight="1">
      <c r="A25" s="1065" t="s">
        <v>590</v>
      </c>
      <c r="B25" s="1051" t="s">
        <v>7</v>
      </c>
      <c r="C25" s="1066"/>
      <c r="D25" s="1059"/>
      <c r="E25" s="1085"/>
      <c r="F25" s="1086"/>
      <c r="G25" s="1079"/>
      <c r="H25" s="1081"/>
      <c r="O25" s="1069">
        <v>25</v>
      </c>
      <c r="P25" s="1069">
        <v>9</v>
      </c>
      <c r="Q25" s="1040" t="str">
        <f t="shared" si="4"/>
        <v>F928</v>
      </c>
      <c r="R25" s="1070">
        <f t="shared" si="5"/>
        <v>0</v>
      </c>
      <c r="T25" s="1069"/>
      <c r="U25" s="1069"/>
      <c r="W25" s="1070"/>
    </row>
    <row r="26" spans="1:23" s="1122" customFormat="1" ht="15" customHeight="1">
      <c r="A26" s="1065" t="s">
        <v>658</v>
      </c>
      <c r="B26" s="1051" t="s">
        <v>8</v>
      </c>
      <c r="C26" s="1066"/>
      <c r="D26" s="1059"/>
      <c r="E26" s="1085"/>
      <c r="F26" s="1086"/>
      <c r="G26" s="1126"/>
      <c r="H26" s="1081"/>
      <c r="O26" s="1069">
        <v>25</v>
      </c>
      <c r="P26" s="1069">
        <v>9</v>
      </c>
      <c r="Q26" s="1040" t="str">
        <f t="shared" si="4"/>
        <v>F929</v>
      </c>
      <c r="R26" s="1070">
        <f t="shared" si="5"/>
        <v>0</v>
      </c>
      <c r="S26" s="1125"/>
      <c r="T26" s="1069"/>
      <c r="U26" s="1069"/>
      <c r="V26" s="1123"/>
      <c r="W26" s="1124"/>
    </row>
    <row r="27" spans="1:23" ht="15" customHeight="1">
      <c r="A27" s="1065" t="s">
        <v>654</v>
      </c>
      <c r="B27" s="1051" t="s">
        <v>6</v>
      </c>
      <c r="C27" s="1066"/>
      <c r="D27" s="1121"/>
      <c r="E27" s="1085"/>
      <c r="F27" s="1086"/>
      <c r="G27" s="1079"/>
      <c r="H27" s="1081"/>
      <c r="O27" s="1069">
        <v>25</v>
      </c>
      <c r="P27" s="1069">
        <v>9</v>
      </c>
      <c r="Q27" s="1040" t="str">
        <f t="shared" si="4"/>
        <v>F926</v>
      </c>
      <c r="R27" s="1070">
        <f t="shared" si="5"/>
        <v>0</v>
      </c>
      <c r="T27" s="1069"/>
      <c r="U27" s="1069"/>
      <c r="W27" s="1070"/>
    </row>
    <row r="28" spans="1:23" ht="15" customHeight="1">
      <c r="A28" s="1100" t="s">
        <v>655</v>
      </c>
      <c r="B28" s="1051" t="s">
        <v>656</v>
      </c>
      <c r="C28" s="1066"/>
      <c r="D28" s="1121"/>
      <c r="E28" s="1085"/>
      <c r="F28" s="1086"/>
      <c r="G28" s="1079"/>
      <c r="H28" s="1081"/>
      <c r="O28" s="1069">
        <v>25</v>
      </c>
      <c r="P28" s="1069">
        <v>9</v>
      </c>
      <c r="Q28" s="1040" t="str">
        <f t="shared" si="4"/>
        <v>F88H</v>
      </c>
      <c r="R28" s="1070">
        <f t="shared" si="5"/>
        <v>0</v>
      </c>
      <c r="T28" s="1069"/>
      <c r="U28" s="1069"/>
      <c r="W28" s="1070"/>
    </row>
    <row r="29" spans="1:23" ht="15" customHeight="1">
      <c r="A29" s="1101" t="s">
        <v>607</v>
      </c>
      <c r="B29" s="1051" t="s">
        <v>9</v>
      </c>
      <c r="C29" s="1066"/>
      <c r="D29" s="1059"/>
      <c r="E29" s="1085"/>
      <c r="F29" s="1086"/>
      <c r="G29" s="1079"/>
      <c r="H29" s="1081"/>
      <c r="O29" s="1069">
        <v>25</v>
      </c>
      <c r="P29" s="1069">
        <v>9</v>
      </c>
      <c r="Q29" s="1040" t="str">
        <f t="shared" si="4"/>
        <v>F931</v>
      </c>
      <c r="R29" s="1070">
        <f t="shared" si="5"/>
        <v>0</v>
      </c>
      <c r="T29" s="1069"/>
      <c r="U29" s="1069"/>
      <c r="W29" s="1070"/>
    </row>
    <row r="30" spans="1:23" ht="15" customHeight="1">
      <c r="A30" s="1102" t="s">
        <v>608</v>
      </c>
      <c r="B30" s="1054" t="s">
        <v>5</v>
      </c>
      <c r="C30" s="1066"/>
      <c r="D30" s="1059"/>
      <c r="E30" s="1085"/>
      <c r="F30" s="1086"/>
      <c r="G30" s="1079"/>
      <c r="H30" s="1081"/>
      <c r="O30" s="1069">
        <v>25</v>
      </c>
      <c r="P30" s="1069">
        <v>9</v>
      </c>
      <c r="Q30" s="1040" t="str">
        <f t="shared" si="4"/>
        <v>F925</v>
      </c>
      <c r="R30" s="1070">
        <f t="shared" si="5"/>
        <v>0</v>
      </c>
      <c r="T30" s="1069"/>
      <c r="U30" s="1069"/>
      <c r="W30" s="1070"/>
    </row>
    <row r="31" spans="1:23" ht="15" customHeight="1">
      <c r="A31" s="1065" t="s">
        <v>609</v>
      </c>
      <c r="B31" s="1054" t="s">
        <v>10</v>
      </c>
      <c r="C31" s="1066"/>
      <c r="D31" s="1059"/>
      <c r="E31" s="1085"/>
      <c r="F31" s="1086"/>
      <c r="G31" s="1079"/>
      <c r="H31" s="1081"/>
      <c r="O31" s="1069">
        <v>25</v>
      </c>
      <c r="P31" s="1069">
        <v>9</v>
      </c>
      <c r="Q31" s="1040" t="str">
        <f t="shared" si="4"/>
        <v>F932</v>
      </c>
      <c r="R31" s="1070">
        <f t="shared" si="5"/>
        <v>0</v>
      </c>
      <c r="T31" s="1069"/>
      <c r="U31" s="1069"/>
      <c r="W31" s="1070"/>
    </row>
    <row r="32" spans="1:23" ht="15" customHeight="1">
      <c r="A32" s="1065" t="s">
        <v>12</v>
      </c>
      <c r="B32" s="1054" t="s">
        <v>11</v>
      </c>
      <c r="C32" s="1066"/>
      <c r="D32" s="1059"/>
      <c r="E32" s="1085"/>
      <c r="F32" s="1086"/>
      <c r="G32" s="1079"/>
      <c r="H32" s="1081"/>
      <c r="O32" s="1069">
        <v>25</v>
      </c>
      <c r="P32" s="1069">
        <v>9</v>
      </c>
      <c r="Q32" s="1040" t="str">
        <f t="shared" si="4"/>
        <v>F933</v>
      </c>
      <c r="R32" s="1070">
        <f t="shared" si="5"/>
        <v>0</v>
      </c>
      <c r="T32" s="1069"/>
      <c r="U32" s="1069"/>
      <c r="W32" s="1070"/>
    </row>
    <row r="33" spans="1:23" ht="15" customHeight="1">
      <c r="A33" s="1065" t="s">
        <v>783</v>
      </c>
      <c r="B33" s="1054" t="s">
        <v>784</v>
      </c>
      <c r="C33" s="1066"/>
      <c r="D33" s="1059"/>
      <c r="E33" s="1085"/>
      <c r="F33" s="1086"/>
      <c r="G33" s="1079"/>
      <c r="H33" s="1081"/>
      <c r="O33" s="1069">
        <v>25</v>
      </c>
      <c r="P33" s="1069">
        <v>9</v>
      </c>
      <c r="Q33" s="1040" t="str">
        <f t="shared" si="4"/>
        <v>F96H</v>
      </c>
      <c r="R33" s="1070">
        <f t="shared" si="5"/>
        <v>0</v>
      </c>
      <c r="T33" s="1069"/>
      <c r="U33" s="1069"/>
      <c r="W33" s="1070"/>
    </row>
    <row r="34" spans="1:23" ht="15" customHeight="1">
      <c r="A34" s="1065" t="s">
        <v>595</v>
      </c>
      <c r="B34" s="1054" t="s">
        <v>544</v>
      </c>
      <c r="C34" s="1066"/>
      <c r="D34" s="1059"/>
      <c r="E34" s="1085"/>
      <c r="F34" s="1086"/>
      <c r="G34" s="1079"/>
      <c r="H34" s="1081"/>
      <c r="O34" s="1069">
        <v>25</v>
      </c>
      <c r="P34" s="1069">
        <v>9</v>
      </c>
      <c r="Q34" s="1040" t="str">
        <f t="shared" si="4"/>
        <v>F995</v>
      </c>
      <c r="R34" s="1070">
        <f t="shared" si="5"/>
        <v>0</v>
      </c>
      <c r="T34" s="1069"/>
      <c r="U34" s="1069"/>
      <c r="W34" s="1070"/>
    </row>
    <row r="35" spans="1:23" ht="15" customHeight="1">
      <c r="A35" s="1065" t="s">
        <v>545</v>
      </c>
      <c r="B35" s="1054" t="s">
        <v>337</v>
      </c>
      <c r="C35" s="1066"/>
      <c r="D35" s="1059"/>
      <c r="E35" s="1085"/>
      <c r="F35" s="1086"/>
      <c r="G35" s="1079"/>
      <c r="H35" s="1081"/>
      <c r="O35" s="1069">
        <v>25</v>
      </c>
      <c r="P35" s="1069">
        <v>9</v>
      </c>
      <c r="Q35" s="1040" t="str">
        <f t="shared" si="4"/>
        <v>F999</v>
      </c>
      <c r="R35" s="1070">
        <f t="shared" si="5"/>
        <v>0</v>
      </c>
      <c r="T35" s="1069"/>
      <c r="U35" s="1069"/>
      <c r="W35" s="1070"/>
    </row>
    <row r="36" spans="1:23" ht="15" customHeight="1" thickBot="1">
      <c r="A36" s="1073" t="s">
        <v>546</v>
      </c>
      <c r="B36" s="1074"/>
      <c r="C36" s="1075">
        <f>SUM(C21:C35)</f>
        <v>0</v>
      </c>
      <c r="D36" s="1059"/>
      <c r="E36" s="1085"/>
      <c r="F36" s="1086"/>
      <c r="G36" s="1079"/>
      <c r="H36" s="1081"/>
      <c r="O36" s="1069"/>
      <c r="P36" s="1069"/>
      <c r="R36" s="1070"/>
      <c r="T36" s="1069"/>
      <c r="U36" s="1069"/>
      <c r="W36" s="1070"/>
    </row>
    <row r="37" spans="1:23" ht="15" customHeight="1">
      <c r="A37" s="1097" t="s">
        <v>1074</v>
      </c>
      <c r="B37" s="1098"/>
      <c r="C37" s="1099"/>
      <c r="D37" s="1059"/>
      <c r="E37" s="1085"/>
      <c r="F37" s="1086"/>
      <c r="G37" s="1079"/>
      <c r="H37" s="1081"/>
      <c r="O37" s="1069"/>
      <c r="P37" s="1069"/>
      <c r="R37" s="1070"/>
      <c r="T37" s="1069"/>
      <c r="U37" s="1069"/>
      <c r="W37" s="1070"/>
    </row>
    <row r="38" spans="1:23" ht="15" customHeight="1">
      <c r="A38" s="1065" t="s">
        <v>852</v>
      </c>
      <c r="B38" s="1054" t="s">
        <v>853</v>
      </c>
      <c r="C38" s="1066"/>
      <c r="D38" s="1059"/>
      <c r="E38" s="1085"/>
      <c r="F38" s="1086"/>
      <c r="G38" s="1079"/>
      <c r="H38" s="1081"/>
      <c r="O38" s="1069">
        <v>25</v>
      </c>
      <c r="P38" s="1069">
        <v>81</v>
      </c>
      <c r="Q38" s="1040" t="str">
        <f>B38</f>
        <v>F27I</v>
      </c>
      <c r="R38" s="1070">
        <f>ROUND(C38,0)</f>
        <v>0</v>
      </c>
      <c r="T38" s="1069"/>
      <c r="U38" s="1069"/>
      <c r="W38" s="1070"/>
    </row>
    <row r="39" spans="1:23" ht="15" customHeight="1">
      <c r="A39" s="1065" t="s">
        <v>1075</v>
      </c>
      <c r="B39" s="1054" t="s">
        <v>1076</v>
      </c>
      <c r="C39" s="1066"/>
      <c r="D39" s="1059"/>
      <c r="E39" s="1085"/>
      <c r="F39" s="1086"/>
      <c r="G39" s="1079"/>
      <c r="H39" s="1081"/>
      <c r="O39" s="1069">
        <v>25</v>
      </c>
      <c r="P39" s="1069">
        <v>81</v>
      </c>
      <c r="Q39" s="1040" t="str">
        <f>B39</f>
        <v>F00P</v>
      </c>
      <c r="R39" s="1070">
        <f>ROUND(C39,0)</f>
        <v>0</v>
      </c>
      <c r="T39" s="1069"/>
      <c r="U39" s="1069"/>
      <c r="W39" s="1070"/>
    </row>
    <row r="40" spans="1:23" ht="15" customHeight="1">
      <c r="A40" s="1065" t="s">
        <v>1077</v>
      </c>
      <c r="B40" s="1054" t="s">
        <v>1078</v>
      </c>
      <c r="C40" s="1066">
        <v>1022</v>
      </c>
      <c r="D40" s="1059"/>
      <c r="E40" s="1085"/>
      <c r="F40" s="1086"/>
      <c r="G40" s="1079"/>
      <c r="H40" s="1081"/>
      <c r="O40" s="1069">
        <v>25</v>
      </c>
      <c r="P40" s="1069">
        <v>81</v>
      </c>
      <c r="Q40" s="1040" t="str">
        <f>B40</f>
        <v>F01P</v>
      </c>
      <c r="R40" s="1070">
        <f>ROUND(C40,0)</f>
        <v>1022</v>
      </c>
      <c r="T40" s="1069"/>
      <c r="U40" s="1069"/>
      <c r="W40" s="1070"/>
    </row>
    <row r="41" spans="1:23" ht="15" customHeight="1" thickBot="1">
      <c r="A41" s="1073" t="s">
        <v>1079</v>
      </c>
      <c r="B41" s="1074"/>
      <c r="C41" s="1075">
        <f>SUM(C38:C40)</f>
        <v>1022</v>
      </c>
      <c r="D41" s="1059"/>
      <c r="E41" s="1085"/>
      <c r="F41" s="1086"/>
      <c r="G41" s="1079"/>
      <c r="H41" s="1081"/>
      <c r="O41" s="1069" t="s">
        <v>746</v>
      </c>
      <c r="P41" s="1069"/>
      <c r="R41" s="1070"/>
      <c r="T41" s="1069"/>
      <c r="U41" s="1069"/>
      <c r="W41" s="1070"/>
    </row>
    <row r="42" spans="1:23" ht="15" customHeight="1" thickBot="1">
      <c r="A42" s="1090" t="s">
        <v>802</v>
      </c>
      <c r="B42" s="1091"/>
      <c r="C42" s="1103">
        <f>C19+C36-C41</f>
        <v>12562</v>
      </c>
      <c r="D42" s="1059"/>
      <c r="G42" s="1127"/>
      <c r="H42" s="1081"/>
      <c r="T42" s="1069"/>
      <c r="U42" s="1069"/>
      <c r="W42" s="1070"/>
    </row>
    <row r="43" spans="1:23" ht="15" customHeight="1" thickBot="1">
      <c r="A43" s="1281" t="s">
        <v>1108</v>
      </c>
      <c r="B43" s="1118"/>
      <c r="C43" s="1092">
        <f>C42</f>
        <v>12562</v>
      </c>
      <c r="D43" s="1059"/>
      <c r="E43" s="1298" t="s">
        <v>1109</v>
      </c>
      <c r="F43" s="1120"/>
      <c r="G43" s="1104">
        <f>G24</f>
        <v>0</v>
      </c>
      <c r="H43" s="1081"/>
      <c r="P43" s="1069"/>
      <c r="R43" s="1070"/>
      <c r="T43" s="1069"/>
      <c r="U43" s="1069"/>
    </row>
    <row r="44" spans="1:23" ht="15" customHeight="1">
      <c r="D44" s="1105"/>
      <c r="E44" s="621"/>
      <c r="H44" s="1081"/>
      <c r="O44" s="1069"/>
      <c r="P44" s="1069"/>
      <c r="T44" s="1069"/>
      <c r="U44" s="1069"/>
    </row>
    <row r="45" spans="1:23" ht="24.9" customHeight="1">
      <c r="A45" s="1094" t="s">
        <v>220</v>
      </c>
      <c r="D45" s="1285"/>
      <c r="H45" s="1081"/>
      <c r="P45" s="1069"/>
      <c r="T45" s="1069"/>
      <c r="U45" s="1069"/>
    </row>
    <row r="46" spans="1:23" ht="24" customHeight="1">
      <c r="A46" s="1094" t="s">
        <v>621</v>
      </c>
      <c r="D46" s="1105"/>
      <c r="H46" s="1081"/>
      <c r="O46" s="1069"/>
      <c r="P46" s="1069"/>
    </row>
    <row r="47" spans="1:23">
      <c r="D47" s="1105"/>
    </row>
    <row r="48" spans="1:23">
      <c r="D48" s="1105"/>
    </row>
  </sheetData>
  <sheetProtection password="EA98" sheet="1" selectLockedCells="1"/>
  <mergeCells count="3">
    <mergeCell ref="H4:H9"/>
    <mergeCell ref="H11:H16"/>
    <mergeCell ref="H18:H23"/>
  </mergeCells>
  <dataValidations count="2">
    <dataValidation type="whole" allowBlank="1" showInputMessage="1" showErrorMessage="1" errorTitle="ERRORE NEL DATO IMMESSO" error="INSERIRE SOLO NUMERI INTERI" sqref="C19 C36 C41:C42 G23:G41">
      <formula1>-999999999999</formula1>
      <formula2>999999999999</formula2>
    </dataValidation>
    <dataValidation type="whole" allowBlank="1" showInputMessage="1" showErrorMessage="1" errorTitle="ERRORE NEL DATO IMMESSO" error="INSERIRE SOLO NUMERI INTERI" sqref="C21:C35 C38:C40 G7:G22 C7:C18">
      <formula1>0</formula1>
      <formula2>999999999999</formula2>
    </dataValidation>
  </dataValidations>
  <printOptions horizontalCentered="1" verticalCentered="1"/>
  <pageMargins left="0" right="0" top="0.19685039370078741" bottom="0.15748031496062992" header="0.51181102362204722" footer="0.15748031496062992"/>
  <pageSetup paperSize="9" scale="72" orientation="landscape" horizontalDpi="300" verticalDpi="4294967292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95"/>
  <sheetViews>
    <sheetView showGridLines="0" zoomScale="75" zoomScaleNormal="75" workbookViewId="0">
      <selection activeCell="E13" sqref="E13"/>
    </sheetView>
  </sheetViews>
  <sheetFormatPr defaultColWidth="9.28515625" defaultRowHeight="15"/>
  <cols>
    <col min="1" max="1" width="9.28515625" style="1213" customWidth="1"/>
    <col min="2" max="2" width="9.28515625" style="1214" customWidth="1"/>
    <col min="3" max="3" width="167.42578125" style="1178" customWidth="1"/>
    <col min="4" max="4" width="2.7109375" style="1178" customWidth="1"/>
    <col min="5" max="5" width="16.85546875" style="1215" bestFit="1" customWidth="1"/>
    <col min="6" max="6" width="47.42578125" style="1175" customWidth="1"/>
    <col min="7" max="7" width="12" style="1180" customWidth="1"/>
    <col min="8" max="8" width="12" style="1181" customWidth="1"/>
    <col min="9" max="9" width="12" style="1210" customWidth="1"/>
    <col min="10" max="10" width="12" style="1178" customWidth="1"/>
    <col min="11" max="13" width="12" style="1178" hidden="1" customWidth="1"/>
    <col min="14" max="14" width="14" style="1178" hidden="1" customWidth="1"/>
    <col min="15" max="16384" width="9.28515625" style="1178"/>
  </cols>
  <sheetData>
    <row r="1" spans="1:14" s="1139" customFormat="1" ht="45" customHeight="1" thickBot="1">
      <c r="A1" s="1022" t="s">
        <v>904</v>
      </c>
      <c r="B1" s="1138"/>
      <c r="C1" s="1023"/>
      <c r="D1" s="1023"/>
      <c r="E1" s="1024"/>
      <c r="F1" s="1025" t="s">
        <v>905</v>
      </c>
      <c r="H1" s="1140" t="s">
        <v>422</v>
      </c>
      <c r="I1" s="1141"/>
    </row>
    <row r="2" spans="1:14" s="1139" customFormat="1" ht="41.4" customHeight="1">
      <c r="A2" s="1026" t="s">
        <v>906</v>
      </c>
      <c r="B2" s="1142"/>
      <c r="C2" s="1027"/>
      <c r="D2" s="1028"/>
      <c r="E2" s="1128"/>
      <c r="F2" s="1505" t="str">
        <f>IF(AND(ISBLANK($E$23),OR(SUM('t1'!$AJ$13:$AK$14)&gt;0,SUM('t12'!$AA$13:$AA$14)&gt;0)),"Attenzione: è necessario compilare la domanda GEN195 !!!","OK")</f>
        <v>OK</v>
      </c>
      <c r="G2" s="1143"/>
      <c r="H2" s="1144"/>
      <c r="I2" s="1141"/>
    </row>
    <row r="3" spans="1:14" s="1146" customFormat="1" ht="30" customHeight="1" thickBot="1">
      <c r="A3" s="1129"/>
      <c r="B3" s="1145"/>
      <c r="C3" s="1130"/>
      <c r="D3" s="1131"/>
      <c r="E3" s="1132"/>
      <c r="F3" s="1506"/>
      <c r="G3" s="1143"/>
      <c r="H3" s="1144"/>
      <c r="I3" s="1141"/>
    </row>
    <row r="4" spans="1:14" s="1139" customFormat="1" ht="16.5" customHeight="1">
      <c r="A4" s="1147"/>
      <c r="B4" s="1148"/>
      <c r="C4" s="1149"/>
      <c r="D4" s="1149"/>
      <c r="E4" s="1149"/>
      <c r="F4" s="1507" t="s">
        <v>907</v>
      </c>
      <c r="G4" s="1149"/>
      <c r="H4" s="1150"/>
      <c r="I4" s="1149"/>
    </row>
    <row r="5" spans="1:14" s="1139" customFormat="1" ht="20.25" customHeight="1" thickBot="1">
      <c r="B5" s="1151"/>
      <c r="C5" s="1152" t="s">
        <v>461</v>
      </c>
      <c r="F5" s="1508"/>
      <c r="H5" s="1153"/>
    </row>
    <row r="6" spans="1:14" s="1158" customFormat="1" ht="20.25" customHeight="1">
      <c r="A6" s="1154" t="str">
        <f>'t1'!$A$1</f>
        <v>COMPARTO REGIONI ED AUTONOMIE LOCALI - anno 2017</v>
      </c>
      <c r="B6" s="1155"/>
      <c r="C6" s="1156"/>
      <c r="D6" s="1157"/>
      <c r="E6" s="1157"/>
      <c r="F6" s="1509" t="str">
        <f>IF(AND(ISBLANK(E17),ISBLANK(E19),ISBLANK(E21)),"OK",IF(AND(OR(ISBLANK(E17),YEAR(E17)&gt;'t1'!M1-1),OR(ISBLANK(E19),YEAR(E19)&gt;'t1'!M1-1),OR(ISBLANK(E21),YEAR(E21)&gt;'t1'!M1-1)),"OK","Attenzione: almeno una data di certificazione è antececedente l'anno "&amp;'t1'!M1&amp;", è necessario giustificare"))</f>
        <v>OK</v>
      </c>
      <c r="H6" s="1159"/>
    </row>
    <row r="7" spans="1:14" s="1158" customFormat="1" ht="11.25" customHeight="1">
      <c r="A7" s="1160"/>
      <c r="B7" s="1161"/>
      <c r="C7" s="1162"/>
      <c r="D7" s="1162"/>
      <c r="E7" s="1163"/>
      <c r="F7" s="1510"/>
      <c r="H7" s="1159"/>
      <c r="I7" s="1162"/>
    </row>
    <row r="8" spans="1:14" s="1158" customFormat="1" ht="30.75" customHeight="1">
      <c r="A8" s="1154"/>
      <c r="B8" s="1164"/>
      <c r="C8" s="1133" t="s">
        <v>908</v>
      </c>
      <c r="F8" s="1510"/>
      <c r="G8" s="1165"/>
      <c r="H8" s="1159"/>
      <c r="N8" s="1136" t="s">
        <v>909</v>
      </c>
    </row>
    <row r="9" spans="1:14" s="1158" customFormat="1" ht="30.75" customHeight="1" thickBot="1">
      <c r="A9" s="1166"/>
      <c r="B9" s="1164"/>
      <c r="C9" s="1162"/>
      <c r="D9" s="1162"/>
      <c r="E9" s="1167"/>
      <c r="F9" s="1506"/>
      <c r="G9" s="1168"/>
      <c r="H9" s="1169"/>
      <c r="I9" s="1168"/>
      <c r="N9" s="1170">
        <f>(COUNTIF(E:E,"&lt;&gt;"&amp;"")+COUNTIF(C92,"&lt;&gt;"&amp;"")+COUNTIF(C95,"&lt;&gt;"&amp;""))</f>
        <v>0</v>
      </c>
    </row>
    <row r="10" spans="1:14" ht="3.9" customHeight="1">
      <c r="A10" s="1171"/>
      <c r="B10" s="1172"/>
      <c r="C10" s="1173"/>
      <c r="D10" s="1171"/>
      <c r="E10" s="1174"/>
      <c r="G10" s="1176"/>
      <c r="H10" s="1171"/>
      <c r="I10" s="1177"/>
    </row>
    <row r="11" spans="1:14" s="1180" customFormat="1" ht="30" customHeight="1">
      <c r="A11" s="1029" t="s">
        <v>910</v>
      </c>
      <c r="B11" s="1030"/>
      <c r="C11" s="1031" t="s">
        <v>911</v>
      </c>
      <c r="D11" s="1029"/>
      <c r="E11" s="1032"/>
      <c r="F11" s="1179"/>
      <c r="H11" s="1181"/>
      <c r="I11" s="1182"/>
      <c r="K11" s="1136" t="s">
        <v>912</v>
      </c>
      <c r="L11" s="1136" t="s">
        <v>913</v>
      </c>
      <c r="M11" s="1136" t="s">
        <v>914</v>
      </c>
      <c r="N11" s="1136" t="s">
        <v>915</v>
      </c>
    </row>
    <row r="12" spans="1:14" s="1180" customFormat="1" ht="3.9" customHeight="1">
      <c r="A12" s="1183"/>
      <c r="B12" s="1184"/>
      <c r="C12" s="1183"/>
      <c r="D12" s="1183"/>
      <c r="E12" s="1185"/>
      <c r="H12" s="1181"/>
      <c r="I12" s="1182"/>
    </row>
    <row r="13" spans="1:14" s="1180" customFormat="1" ht="30" customHeight="1">
      <c r="A13" s="1186" t="s">
        <v>918</v>
      </c>
      <c r="B13" s="1187" t="s">
        <v>917</v>
      </c>
      <c r="C13" s="1179" t="s">
        <v>1035</v>
      </c>
      <c r="E13" s="1188"/>
      <c r="F13" s="1189" t="str">
        <f>IF(AND(LEN(E13)=1,OR(UPPER(E13)="N",UPPER(E13)="S")),"",IF(ISBLANK(E13),"","  Errore ! Inserire S o N"))</f>
        <v/>
      </c>
      <c r="K13" s="1190" t="str">
        <f>LEFT(A13,3)</f>
        <v>GEN</v>
      </c>
      <c r="L13" s="1190" t="str">
        <f>RIGHT(A13,3)</f>
        <v>172</v>
      </c>
      <c r="M13" s="1190" t="str">
        <f>B13</f>
        <v>FLAG</v>
      </c>
      <c r="N13" s="1191" t="str">
        <f>IF(AND(LEN(E13)=1,OR(UPPER(E13)="N",UPPER(E13)="S")),UPPER(E13),"")</f>
        <v/>
      </c>
    </row>
    <row r="14" spans="1:14" s="1180" customFormat="1" ht="3.9" customHeight="1">
      <c r="A14" s="1186"/>
      <c r="B14" s="1192"/>
      <c r="C14" s="1183"/>
      <c r="D14" s="1183"/>
      <c r="E14" s="1193"/>
      <c r="F14" s="1179"/>
      <c r="H14" s="1181"/>
      <c r="I14" s="1182"/>
    </row>
    <row r="15" spans="1:14" s="1180" customFormat="1" ht="30" customHeight="1">
      <c r="A15" s="1186" t="s">
        <v>916</v>
      </c>
      <c r="B15" s="1187" t="s">
        <v>917</v>
      </c>
      <c r="C15" s="1179" t="s">
        <v>1036</v>
      </c>
      <c r="E15" s="1188"/>
      <c r="F15" s="1189" t="str">
        <f>IF(AND(LEN(E15)=1,OR(UPPER(E15)="N",UPPER(E15)="S")),"",IF(ISBLANK(E15),"","  Errore ! Inserire S o N"))</f>
        <v/>
      </c>
      <c r="K15" s="1190" t="str">
        <f>LEFT(A15,3)</f>
        <v>GEN</v>
      </c>
      <c r="L15" s="1190" t="str">
        <f>RIGHT(A15,3)</f>
        <v>207</v>
      </c>
      <c r="M15" s="1190" t="str">
        <f>B15</f>
        <v>FLAG</v>
      </c>
      <c r="N15" s="1191" t="str">
        <f>IF(AND(LEN(E15)=1,OR(UPPER(E15)="N",UPPER(E15)="S")),UPPER(E15),"")</f>
        <v/>
      </c>
    </row>
    <row r="16" spans="1:14" s="1180" customFormat="1" ht="3.9" customHeight="1">
      <c r="A16" s="1186"/>
      <c r="B16" s="1192"/>
      <c r="C16" s="1183"/>
      <c r="D16" s="1183"/>
      <c r="E16" s="1193"/>
      <c r="F16" s="1179"/>
      <c r="H16" s="1181"/>
      <c r="I16" s="1182"/>
    </row>
    <row r="17" spans="1:14" s="1180" customFormat="1" ht="30" customHeight="1">
      <c r="A17" s="1186" t="s">
        <v>1097</v>
      </c>
      <c r="B17" s="1187" t="s">
        <v>919</v>
      </c>
      <c r="C17" s="1179" t="s">
        <v>1098</v>
      </c>
      <c r="E17" s="1194"/>
      <c r="F17" s="1300" t="str">
        <f ca="1">IF(ISBLANK(E17),"",IF(AND(E17&gt;=DATE(2016,1,1),E17&lt;=TODAY()),"","Digitare una data non anteriore al 1 Gennaio "&amp;'t1'!M1-1&amp;" (gg/mm/aaaa)"))</f>
        <v/>
      </c>
      <c r="K17" s="1190" t="str">
        <f>LEFT(A17,3)</f>
        <v>GEN</v>
      </c>
      <c r="L17" s="1190" t="str">
        <f>RIGHT(A17,3)</f>
        <v>353</v>
      </c>
      <c r="M17" s="1190" t="str">
        <f>B17</f>
        <v>DATE</v>
      </c>
      <c r="N17" s="1195" t="str">
        <f ca="1">IF(AND(E17&gt;=DATE(2016,1,1),E17&lt;=TODAY()),"'"&amp;DAY(E17)&amp;"/"&amp;MONTH(E17)&amp;"/"&amp;YEAR(E17),"")</f>
        <v/>
      </c>
    </row>
    <row r="18" spans="1:14" s="1180" customFormat="1" ht="3.9" customHeight="1">
      <c r="A18" s="1186"/>
      <c r="B18" s="1192"/>
      <c r="C18" s="1183"/>
      <c r="D18" s="1183"/>
      <c r="E18" s="1193"/>
      <c r="F18" s="1301"/>
      <c r="H18" s="1181"/>
      <c r="I18" s="1182"/>
    </row>
    <row r="19" spans="1:14" s="1180" customFormat="1" ht="30" customHeight="1">
      <c r="A19" s="1186" t="s">
        <v>1099</v>
      </c>
      <c r="B19" s="1187" t="s">
        <v>919</v>
      </c>
      <c r="C19" s="1179" t="s">
        <v>1100</v>
      </c>
      <c r="E19" s="1194"/>
      <c r="F19" s="1300" t="str">
        <f ca="1">IF(ISBLANK(E19),"",IF(AND(E19&gt;=DATE(2016,1,1),E19&lt;=TODAY()),"","Digitare una data non anteriore al 1 Gennaio "&amp;'t1'!M1-1&amp;" (gg/mm/aaaa)"))</f>
        <v/>
      </c>
      <c r="K19" s="1190" t="str">
        <f>LEFT(A19,3)</f>
        <v>GEN</v>
      </c>
      <c r="L19" s="1190" t="str">
        <f>RIGHT(A19,3)</f>
        <v>354</v>
      </c>
      <c r="M19" s="1190" t="str">
        <f>B19</f>
        <v>DATE</v>
      </c>
      <c r="N19" s="1195" t="str">
        <f ca="1">IF(AND(E19&gt;=DATE(2016,1,1),E19&lt;=TODAY()),"'"&amp;DAY(E19)&amp;"/"&amp;MONTH(E19)&amp;"/"&amp;YEAR(E19),"")</f>
        <v/>
      </c>
    </row>
    <row r="20" spans="1:14" s="1180" customFormat="1" ht="3.9" customHeight="1">
      <c r="A20" s="1186"/>
      <c r="B20" s="1187"/>
      <c r="C20" s="1179"/>
      <c r="E20" s="1297"/>
      <c r="F20" s="1301"/>
      <c r="K20" s="1190"/>
      <c r="L20" s="1190"/>
      <c r="M20" s="1190"/>
      <c r="N20" s="1195"/>
    </row>
    <row r="21" spans="1:14" s="1180" customFormat="1" ht="30" customHeight="1">
      <c r="A21" s="1186" t="s">
        <v>1101</v>
      </c>
      <c r="B21" s="1187" t="s">
        <v>919</v>
      </c>
      <c r="C21" s="1179" t="s">
        <v>1102</v>
      </c>
      <c r="E21" s="1194"/>
      <c r="F21" s="1300" t="str">
        <f ca="1">IF(ISBLANK(E21),"",IF(AND(E21&gt;=DATE(2016,1,1),E21&lt;=TODAY()),"","Digitare una data non anteriore al 1 Gennaio "&amp;'t1'!M1-1&amp;" (gg/mm/aaaa)"))</f>
        <v/>
      </c>
      <c r="K21" s="1190" t="str">
        <f>LEFT(A21,3)</f>
        <v>GEN</v>
      </c>
      <c r="L21" s="1190" t="str">
        <f>RIGHT(A21,3)</f>
        <v>355</v>
      </c>
      <c r="M21" s="1190" t="str">
        <f>B21</f>
        <v>DATE</v>
      </c>
      <c r="N21" s="1195" t="str">
        <f ca="1">IF(AND(E21&gt;=DATE(2016,1,1),E21&lt;=TODAY()),"'"&amp;DAY(E21)&amp;"/"&amp;MONTH(E21)&amp;"/"&amp;YEAR(E21),"")</f>
        <v/>
      </c>
    </row>
    <row r="22" spans="1:14" s="1180" customFormat="1" ht="3.9" customHeight="1">
      <c r="A22" s="1186"/>
      <c r="B22" s="1192"/>
      <c r="C22" s="1183"/>
      <c r="D22" s="1183"/>
      <c r="E22" s="1193"/>
      <c r="F22" s="1179"/>
      <c r="H22" s="1181"/>
      <c r="I22" s="1182"/>
    </row>
    <row r="23" spans="1:14" s="1180" customFormat="1" ht="30" customHeight="1">
      <c r="A23" s="1186" t="s">
        <v>920</v>
      </c>
      <c r="B23" s="1187" t="s">
        <v>921</v>
      </c>
      <c r="C23" s="1179" t="s">
        <v>922</v>
      </c>
      <c r="E23" s="1196"/>
      <c r="F23" s="1189" t="str">
        <f>IF(ISBLANK(E23),"",IF(ISNUMBER(E23),IF(E23-INT(E23)=0,"","  Errore ! Inserire un numero intero senza decimali"),"  Errore ! Inserire un numero intero senza decimali"))</f>
        <v/>
      </c>
      <c r="K23" s="1190" t="str">
        <f>LEFT(A23,3)</f>
        <v>GEN</v>
      </c>
      <c r="L23" s="1190" t="str">
        <f>RIGHT(A23,3)</f>
        <v>195</v>
      </c>
      <c r="M23" s="1190" t="str">
        <f>B23</f>
        <v>INT</v>
      </c>
      <c r="N23" s="1191" t="str">
        <f>IF(ISNUMBER(E23),ROUND(E23,0),"")</f>
        <v/>
      </c>
    </row>
    <row r="24" spans="1:14" s="1180" customFormat="1" ht="3.9" customHeight="1">
      <c r="A24" s="1197"/>
      <c r="B24" s="1192"/>
      <c r="C24" s="1183"/>
      <c r="D24" s="1183"/>
      <c r="E24" s="1185"/>
      <c r="F24" s="1179"/>
      <c r="H24" s="1181"/>
      <c r="I24" s="1182"/>
    </row>
    <row r="25" spans="1:14" s="1180" customFormat="1" ht="30" customHeight="1">
      <c r="A25" s="1029" t="s">
        <v>923</v>
      </c>
      <c r="B25" s="1029"/>
      <c r="C25" s="1031" t="s">
        <v>924</v>
      </c>
      <c r="D25" s="1029"/>
      <c r="E25" s="1032"/>
      <c r="F25" s="1179"/>
      <c r="H25" s="1181"/>
      <c r="I25" s="1182"/>
    </row>
    <row r="26" spans="1:14" s="1180" customFormat="1" ht="3.9" customHeight="1">
      <c r="A26" s="1183"/>
      <c r="B26" s="1192"/>
      <c r="C26" s="1183"/>
      <c r="D26" s="1183"/>
      <c r="E26" s="1185"/>
      <c r="F26" s="1179"/>
      <c r="H26" s="1181"/>
      <c r="I26" s="1182"/>
    </row>
    <row r="27" spans="1:14" s="1180" customFormat="1" ht="30" customHeight="1">
      <c r="A27" s="1186" t="s">
        <v>925</v>
      </c>
      <c r="B27" s="1187" t="s">
        <v>921</v>
      </c>
      <c r="C27" s="1179" t="s">
        <v>926</v>
      </c>
      <c r="E27" s="1196"/>
      <c r="F27" s="1189" t="str">
        <f>IF(ISBLANK(E27),"",IF(ISNUMBER(E27),IF(E27-INT(E27)=0,"","  Errore ! Inserire un numero intero senza decimali"),"  Errore ! Inserire un numero intero senza decimali"))</f>
        <v/>
      </c>
      <c r="K27" s="1190" t="str">
        <f>LEFT(A27,3)</f>
        <v>LEG</v>
      </c>
      <c r="L27" s="1190" t="str">
        <f>RIGHT(A27,3)</f>
        <v>157</v>
      </c>
      <c r="M27" s="1190" t="str">
        <f>B27</f>
        <v>INT</v>
      </c>
      <c r="N27" s="1191" t="str">
        <f>IF(ISNUMBER(E27),ROUND(E27,0),"")</f>
        <v/>
      </c>
    </row>
    <row r="28" spans="1:14" s="1180" customFormat="1" ht="3.9" customHeight="1">
      <c r="A28" s="1186"/>
      <c r="B28" s="1187"/>
      <c r="C28" s="1179"/>
      <c r="D28" s="1183"/>
      <c r="E28" s="1193"/>
      <c r="F28" s="1179"/>
      <c r="H28" s="1181"/>
      <c r="I28" s="1182"/>
    </row>
    <row r="29" spans="1:14" s="1286" customFormat="1" ht="30" customHeight="1">
      <c r="A29" s="1186" t="s">
        <v>1103</v>
      </c>
      <c r="B29" s="1187" t="s">
        <v>921</v>
      </c>
      <c r="C29" s="1179" t="s">
        <v>1104</v>
      </c>
      <c r="E29" s="1221"/>
      <c r="F29" s="1287" t="str">
        <f>IF(ISBLANK(E29),"",IF(ISNUMBER(E29),IF(E29-INT(E29)=0,"","  Errore ! Inserire un numero intero senza decimali"),"  Errore ! Inserire un numero intero senza decimali"))</f>
        <v/>
      </c>
      <c r="K29" s="1191" t="str">
        <f>LEFT(A29,3)</f>
        <v>LEG</v>
      </c>
      <c r="L29" s="1191" t="str">
        <f>RIGHT(A29,3)</f>
        <v>356</v>
      </c>
      <c r="M29" s="1191" t="str">
        <f>B29</f>
        <v>INT</v>
      </c>
      <c r="N29" s="1191" t="str">
        <f>IF(ISNUMBER(E29),ROUND(E29,0),"")</f>
        <v/>
      </c>
    </row>
    <row r="30" spans="1:14" s="1286" customFormat="1" ht="3.9" customHeight="1">
      <c r="A30" s="1288"/>
      <c r="B30" s="1289"/>
      <c r="C30" s="1290"/>
      <c r="D30" s="1290"/>
      <c r="E30" s="1174"/>
      <c r="F30" s="1291"/>
      <c r="H30" s="1181"/>
      <c r="I30" s="1292"/>
    </row>
    <row r="31" spans="1:14" s="1286" customFormat="1" ht="30" customHeight="1">
      <c r="A31" s="1186" t="s">
        <v>1105</v>
      </c>
      <c r="B31" s="1187" t="s">
        <v>921</v>
      </c>
      <c r="C31" s="1179" t="s">
        <v>1106</v>
      </c>
      <c r="E31" s="1221"/>
      <c r="F31" s="1287" t="str">
        <f>IF(ISBLANK(E31),"",IF(ISNUMBER(E31),IF(E31-INT(E31)=0,"","  Errore ! Inserire un numero intero senza decimali"),"  Errore ! Inserire un numero intero senza decimali"))</f>
        <v/>
      </c>
      <c r="K31" s="1191" t="str">
        <f>LEFT(A31,3)</f>
        <v>LEG</v>
      </c>
      <c r="L31" s="1191" t="str">
        <f>RIGHT(A31,3)</f>
        <v>357</v>
      </c>
      <c r="M31" s="1191" t="str">
        <f>B31</f>
        <v>INT</v>
      </c>
      <c r="N31" s="1191" t="str">
        <f>IF(ISNUMBER(E31),ROUND(E31,0),"")</f>
        <v/>
      </c>
    </row>
    <row r="32" spans="1:14" s="1286" customFormat="1" ht="3.9" customHeight="1">
      <c r="A32" s="1288"/>
      <c r="B32" s="1289"/>
      <c r="C32" s="1290"/>
      <c r="D32" s="1290"/>
      <c r="E32" s="1174"/>
      <c r="F32" s="1291"/>
      <c r="H32" s="1181"/>
      <c r="I32" s="1292"/>
    </row>
    <row r="33" spans="1:14" s="1180" customFormat="1" ht="30" customHeight="1">
      <c r="A33" s="1186" t="s">
        <v>928</v>
      </c>
      <c r="B33" s="1187" t="s">
        <v>921</v>
      </c>
      <c r="C33" s="1179" t="s">
        <v>929</v>
      </c>
      <c r="E33" s="1196"/>
      <c r="F33" s="1189" t="str">
        <f>IF(ISBLANK(E33),"",IF(ISNUMBER(E33),IF(E33-INT(E33)=0,"","  Errore ! Inserire un numero intero senza decimali"),"  Errore ! Inserire un numero intero senza decimali"))</f>
        <v/>
      </c>
      <c r="K33" s="1190" t="str">
        <f>LEFT(A33,3)</f>
        <v>LEG</v>
      </c>
      <c r="L33" s="1190" t="str">
        <f>RIGHT(A33,3)</f>
        <v>263</v>
      </c>
      <c r="M33" s="1190" t="str">
        <f>B33</f>
        <v>INT</v>
      </c>
      <c r="N33" s="1191" t="str">
        <f>IF(ISNUMBER(E33),ROUND(E33,0),"")</f>
        <v/>
      </c>
    </row>
    <row r="34" spans="1:14" s="1180" customFormat="1" ht="3.9" customHeight="1">
      <c r="A34" s="1186"/>
      <c r="B34" s="1192"/>
      <c r="C34" s="1199"/>
      <c r="D34" s="1183"/>
      <c r="E34" s="1193"/>
      <c r="F34" s="1179"/>
      <c r="H34" s="1181"/>
      <c r="I34" s="1182"/>
    </row>
    <row r="35" spans="1:14" s="1180" customFormat="1" ht="30" customHeight="1">
      <c r="A35" s="1186" t="s">
        <v>930</v>
      </c>
      <c r="B35" s="1187" t="s">
        <v>921</v>
      </c>
      <c r="C35" s="1179" t="s">
        <v>931</v>
      </c>
      <c r="E35" s="1196"/>
      <c r="F35" s="1189" t="str">
        <f>IF(ISBLANK(E35),"",IF(ISNUMBER(E35),IF(E35-INT(E35)=0,"","  Errore ! Inserire un numero intero senza decimali"),"  Errore ! Inserire un numero intero senza decimali"))</f>
        <v/>
      </c>
      <c r="K35" s="1190" t="str">
        <f>LEFT(A35,3)</f>
        <v>LEG</v>
      </c>
      <c r="L35" s="1190" t="str">
        <f>RIGHT(A35,3)</f>
        <v>264</v>
      </c>
      <c r="M35" s="1190" t="str">
        <f>B35</f>
        <v>INT</v>
      </c>
      <c r="N35" s="1191" t="str">
        <f>IF(ISNUMBER(E35),ROUND(E35,0),"")</f>
        <v/>
      </c>
    </row>
    <row r="36" spans="1:14" s="1180" customFormat="1" ht="3.9" customHeight="1">
      <c r="A36" s="1197"/>
      <c r="B36" s="1192"/>
      <c r="C36" s="1199"/>
      <c r="D36" s="1183"/>
      <c r="E36" s="1193"/>
      <c r="F36" s="1179"/>
      <c r="H36" s="1181"/>
      <c r="I36" s="1182"/>
    </row>
    <row r="37" spans="1:14" s="1180" customFormat="1" ht="30" customHeight="1">
      <c r="A37" s="1186" t="s">
        <v>932</v>
      </c>
      <c r="B37" s="1187" t="s">
        <v>921</v>
      </c>
      <c r="C37" s="1179" t="s">
        <v>1042</v>
      </c>
      <c r="E37" s="1196"/>
      <c r="F37" s="1189" t="str">
        <f>IF(ISBLANK(E37),"",IF(ISNUMBER(E37),IF(E37-INT(E37)=0,"","  Errore ! Inserire un numero intero senza decimali"),"  Errore ! Inserire un numero intero senza decimali"))</f>
        <v/>
      </c>
      <c r="K37" s="1190" t="str">
        <f>LEFT(A37,3)</f>
        <v>LEG</v>
      </c>
      <c r="L37" s="1190" t="str">
        <f>RIGHT(A37,3)</f>
        <v>265</v>
      </c>
      <c r="M37" s="1190" t="str">
        <f>B37</f>
        <v>INT</v>
      </c>
      <c r="N37" s="1191" t="str">
        <f>IF(ISNUMBER(E37),ROUND(E37,0),"")</f>
        <v/>
      </c>
    </row>
    <row r="38" spans="1:14" s="1180" customFormat="1" ht="3.9" customHeight="1">
      <c r="A38" s="1197"/>
      <c r="B38" s="1192"/>
      <c r="C38" s="1183"/>
      <c r="D38" s="1183"/>
      <c r="E38" s="1185"/>
      <c r="F38" s="1179"/>
      <c r="H38" s="1181"/>
      <c r="I38" s="1182"/>
    </row>
    <row r="39" spans="1:14" s="1180" customFormat="1" ht="30" customHeight="1">
      <c r="A39" s="1029" t="s">
        <v>933</v>
      </c>
      <c r="B39" s="1029"/>
      <c r="C39" s="1031" t="s">
        <v>934</v>
      </c>
      <c r="D39" s="1029"/>
      <c r="E39" s="1032"/>
      <c r="F39" s="1179"/>
      <c r="H39" s="1181"/>
      <c r="I39" s="1182"/>
    </row>
    <row r="40" spans="1:14" s="1180" customFormat="1" ht="3.9" customHeight="1">
      <c r="A40" s="1183"/>
      <c r="B40" s="1192"/>
      <c r="C40" s="1183"/>
      <c r="D40" s="1183"/>
      <c r="E40" s="1185"/>
      <c r="F40" s="1179"/>
      <c r="H40" s="1181"/>
      <c r="I40" s="1182"/>
    </row>
    <row r="41" spans="1:14" s="1180" customFormat="1" ht="30" customHeight="1">
      <c r="A41" s="1200" t="s">
        <v>935</v>
      </c>
      <c r="B41" s="1187" t="s">
        <v>921</v>
      </c>
      <c r="C41" s="1179" t="s">
        <v>856</v>
      </c>
      <c r="E41" s="1196"/>
      <c r="F41" s="1189" t="str">
        <f>IF(ISBLANK(E41),"",IF(ISNUMBER(E41),IF(E41-INT(E41)=0,"","  Errore ! Inserire un numero intero senza decimali"),"  Errore ! Inserire un numero intero senza decimali"))</f>
        <v/>
      </c>
      <c r="K41" s="1190" t="str">
        <f>LEFT(A41,3)</f>
        <v>ORG</v>
      </c>
      <c r="L41" s="1190" t="str">
        <f>RIGHT(A41,3)</f>
        <v>191</v>
      </c>
      <c r="M41" s="1190" t="str">
        <f>B41</f>
        <v>INT</v>
      </c>
      <c r="N41" s="1191" t="str">
        <f>IF(ISNUMBER(E41),ROUND(E41,0),"")</f>
        <v/>
      </c>
    </row>
    <row r="42" spans="1:14" s="1180" customFormat="1" ht="3.9" customHeight="1">
      <c r="A42" s="1201"/>
      <c r="B42" s="1192"/>
      <c r="C42" s="1183"/>
      <c r="D42" s="1183"/>
      <c r="E42" s="1193"/>
      <c r="F42" s="1179"/>
      <c r="H42" s="1181"/>
      <c r="I42" s="1182"/>
    </row>
    <row r="43" spans="1:14" s="1180" customFormat="1" ht="30" customHeight="1">
      <c r="A43" s="1200" t="s">
        <v>936</v>
      </c>
      <c r="B43" s="1187" t="s">
        <v>921</v>
      </c>
      <c r="C43" s="1202" t="s">
        <v>937</v>
      </c>
      <c r="E43" s="1196"/>
      <c r="F43" s="1189" t="str">
        <f>IF(ISBLANK(E43),"",IF(ISNUMBER(E43),IF(E43-INT(E43)=0,"","  Errore ! Inserire un numero intero senza decimali"),"  Errore ! Inserire un numero intero senza decimali"))</f>
        <v/>
      </c>
      <c r="K43" s="1190" t="str">
        <f>LEFT(A43,3)</f>
        <v>ORG</v>
      </c>
      <c r="L43" s="1190" t="str">
        <f>RIGHT(A43,3)</f>
        <v>299</v>
      </c>
      <c r="M43" s="1190" t="str">
        <f>B43</f>
        <v>INT</v>
      </c>
      <c r="N43" s="1191" t="str">
        <f>IF(ISNUMBER(E43),ROUND(E43,0),"")</f>
        <v/>
      </c>
    </row>
    <row r="44" spans="1:14" s="1180" customFormat="1" ht="3.9" customHeight="1">
      <c r="A44" s="1201"/>
      <c r="B44" s="1192"/>
      <c r="C44" s="1183"/>
      <c r="D44" s="1183"/>
      <c r="E44" s="1193"/>
      <c r="F44" s="1179"/>
      <c r="H44" s="1181"/>
      <c r="I44" s="1182"/>
    </row>
    <row r="45" spans="1:14" s="1180" customFormat="1" ht="30" customHeight="1">
      <c r="A45" s="1200" t="s">
        <v>946</v>
      </c>
      <c r="B45" s="1187" t="s">
        <v>921</v>
      </c>
      <c r="C45" s="1202" t="s">
        <v>947</v>
      </c>
      <c r="E45" s="1196"/>
      <c r="F45" s="1189" t="str">
        <f>IF(ISBLANK(E45),"",IF(ISNUMBER(E45),IF(E45-INT(E45)=0,"","  Errore ! Inserire un numero intero senza decimali"),"  Errore ! Inserire un numero intero senza decimali"))</f>
        <v/>
      </c>
      <c r="K45" s="1190" t="str">
        <f>LEFT(A45,3)</f>
        <v>ORG</v>
      </c>
      <c r="L45" s="1190" t="str">
        <f>RIGHT(A45,3)</f>
        <v>300</v>
      </c>
      <c r="M45" s="1190" t="str">
        <f>B45</f>
        <v>INT</v>
      </c>
      <c r="N45" s="1191" t="str">
        <f>IF(ISNUMBER(E45),ROUND(E45,0),"")</f>
        <v/>
      </c>
    </row>
    <row r="46" spans="1:14" s="1180" customFormat="1" ht="3.9" customHeight="1">
      <c r="A46" s="1200"/>
      <c r="B46" s="1192"/>
      <c r="C46" s="1183"/>
      <c r="D46" s="1183"/>
      <c r="E46" s="1193"/>
      <c r="F46" s="1179"/>
      <c r="H46" s="1181"/>
      <c r="I46" s="1182"/>
    </row>
    <row r="47" spans="1:14" s="1180" customFormat="1" ht="30" customHeight="1">
      <c r="A47" s="1200" t="s">
        <v>938</v>
      </c>
      <c r="B47" s="1187" t="s">
        <v>921</v>
      </c>
      <c r="C47" s="1179" t="s">
        <v>939</v>
      </c>
      <c r="E47" s="1196"/>
      <c r="F47" s="1189" t="str">
        <f>IF(ISBLANK(E47),"",IF(ISNUMBER(E47),IF(E47-INT(E47)=0,"","  Errore ! Inserire un numero intero senza decimali"),"  Errore ! Inserire un numero intero senza decimali"))</f>
        <v/>
      </c>
      <c r="K47" s="1190" t="str">
        <f>LEFT(A47,3)</f>
        <v>ORG</v>
      </c>
      <c r="L47" s="1190" t="str">
        <f>RIGHT(A47,3)</f>
        <v>268</v>
      </c>
      <c r="M47" s="1190" t="str">
        <f>B47</f>
        <v>INT</v>
      </c>
      <c r="N47" s="1191" t="str">
        <f>IF(ISNUMBER(E47),ROUND(E47,0),"")</f>
        <v/>
      </c>
    </row>
    <row r="48" spans="1:14" s="1180" customFormat="1" ht="3.9" customHeight="1">
      <c r="A48" s="1201"/>
      <c r="B48" s="1192"/>
      <c r="C48" s="1183"/>
      <c r="D48" s="1183"/>
      <c r="E48" s="1193"/>
      <c r="F48" s="1179"/>
      <c r="H48" s="1181"/>
      <c r="I48" s="1182"/>
    </row>
    <row r="49" spans="1:14" s="1180" customFormat="1" ht="30" customHeight="1">
      <c r="A49" s="1200" t="s">
        <v>940</v>
      </c>
      <c r="B49" s="1187" t="s">
        <v>921</v>
      </c>
      <c r="C49" s="1179" t="s">
        <v>941</v>
      </c>
      <c r="E49" s="1196"/>
      <c r="F49" s="1189" t="str">
        <f>IF(ISBLANK(E49),"",IF(ISNUMBER(E49),IF(E49-INT(E49)=0,"","  Errore ! Inserire un numero intero senza decimali"),"  Errore ! Inserire un numero intero senza decimali"))</f>
        <v/>
      </c>
      <c r="K49" s="1190" t="str">
        <f>LEFT(A49,3)</f>
        <v>ORG</v>
      </c>
      <c r="L49" s="1190" t="str">
        <f>RIGHT(A49,3)</f>
        <v>269</v>
      </c>
      <c r="M49" s="1190" t="str">
        <f>B49</f>
        <v>INT</v>
      </c>
      <c r="N49" s="1191" t="str">
        <f>IF(ISNUMBER(E49),ROUND(E49,0),"")</f>
        <v/>
      </c>
    </row>
    <row r="50" spans="1:14" s="1180" customFormat="1" ht="3.9" customHeight="1">
      <c r="A50" s="1200"/>
      <c r="B50" s="1192"/>
      <c r="C50" s="1183"/>
      <c r="D50" s="1183"/>
      <c r="E50" s="1193"/>
      <c r="F50" s="1179"/>
      <c r="H50" s="1181"/>
      <c r="I50" s="1182"/>
    </row>
    <row r="51" spans="1:14" s="1180" customFormat="1" ht="30" customHeight="1">
      <c r="A51" s="1200" t="s">
        <v>942</v>
      </c>
      <c r="B51" s="1187" t="s">
        <v>921</v>
      </c>
      <c r="C51" s="1179" t="s">
        <v>943</v>
      </c>
      <c r="E51" s="1196"/>
      <c r="F51" s="1189" t="str">
        <f>IF(ISBLANK(E51),"",IF(ISNUMBER(E51),IF(E51-INT(E51)=0,"","  Errore ! Inserire un numero intero senza decimali"),"  Errore ! Inserire un numero intero senza decimali"))</f>
        <v/>
      </c>
      <c r="K51" s="1190" t="str">
        <f>LEFT(A51,3)</f>
        <v>ORG</v>
      </c>
      <c r="L51" s="1190" t="str">
        <f>RIGHT(A51,3)</f>
        <v>270</v>
      </c>
      <c r="M51" s="1190" t="str">
        <f>B51</f>
        <v>INT</v>
      </c>
      <c r="N51" s="1191" t="str">
        <f>IF(ISNUMBER(E51),ROUND(E51,0),"")</f>
        <v/>
      </c>
    </row>
    <row r="52" spans="1:14" s="1180" customFormat="1" ht="3.9" customHeight="1">
      <c r="A52" s="1200"/>
      <c r="B52" s="1192"/>
      <c r="C52" s="1183"/>
      <c r="D52" s="1183"/>
      <c r="E52" s="1193"/>
      <c r="F52" s="1179"/>
      <c r="H52" s="1181"/>
      <c r="I52" s="1182"/>
    </row>
    <row r="53" spans="1:14" s="1180" customFormat="1" ht="30" customHeight="1">
      <c r="A53" s="1200" t="s">
        <v>948</v>
      </c>
      <c r="B53" s="1187" t="s">
        <v>921</v>
      </c>
      <c r="C53" s="1179" t="s">
        <v>949</v>
      </c>
      <c r="E53" s="1196"/>
      <c r="F53" s="1189" t="str">
        <f>IF(ISBLANK(E53),"",IF(ISNUMBER(E53),IF(E53-INT(E53)=0,"","  Errore ! Inserire un numero intero senza decimali"),"  Errore ! Inserire un numero intero senza decimali"))</f>
        <v/>
      </c>
      <c r="K53" s="1190" t="str">
        <f>LEFT(A53,3)</f>
        <v>ORG</v>
      </c>
      <c r="L53" s="1190" t="str">
        <f>RIGHT(A53,3)</f>
        <v>136</v>
      </c>
      <c r="M53" s="1190" t="str">
        <f>B53</f>
        <v>INT</v>
      </c>
      <c r="N53" s="1191" t="str">
        <f>IF(ISNUMBER(E53),ROUND(E53,0),"")</f>
        <v/>
      </c>
    </row>
    <row r="54" spans="1:14" s="1180" customFormat="1" ht="3.9" customHeight="1">
      <c r="A54" s="1200"/>
      <c r="B54" s="1192"/>
      <c r="C54" s="1183"/>
      <c r="D54" s="1183"/>
      <c r="E54" s="1193"/>
      <c r="F54" s="1179"/>
      <c r="H54" s="1181"/>
      <c r="I54" s="1182"/>
    </row>
    <row r="55" spans="1:14" s="1180" customFormat="1" ht="30" customHeight="1">
      <c r="A55" s="1200" t="s">
        <v>950</v>
      </c>
      <c r="B55" s="1187" t="s">
        <v>921</v>
      </c>
      <c r="C55" s="1179" t="s">
        <v>951</v>
      </c>
      <c r="E55" s="1196"/>
      <c r="F55" s="1189" t="str">
        <f>IF(ISBLANK(E55),"",IF(ISNUMBER(E55),IF(E55-INT(E55)=0,"","  Errore ! Inserire un numero intero senza decimali"),"  Errore ! Inserire un numero intero senza decimali"))</f>
        <v/>
      </c>
      <c r="K55" s="1190" t="str">
        <f>LEFT(A55,3)</f>
        <v>ORG</v>
      </c>
      <c r="L55" s="1190" t="str">
        <f>RIGHT(A55,3)</f>
        <v>179</v>
      </c>
      <c r="M55" s="1190" t="str">
        <f>B55</f>
        <v>INT</v>
      </c>
      <c r="N55" s="1191" t="str">
        <f>IF(ISNUMBER(E55),ROUND(E55,0),"")</f>
        <v/>
      </c>
    </row>
    <row r="56" spans="1:14" s="1180" customFormat="1" ht="3.9" customHeight="1">
      <c r="A56" s="1200"/>
      <c r="B56" s="1192"/>
      <c r="C56" s="1183"/>
      <c r="D56" s="1183"/>
      <c r="E56" s="1193"/>
      <c r="F56" s="1179"/>
      <c r="H56" s="1181"/>
      <c r="I56" s="1182"/>
    </row>
    <row r="57" spans="1:14" s="1180" customFormat="1" ht="30" customHeight="1">
      <c r="A57" s="1200" t="s">
        <v>952</v>
      </c>
      <c r="B57" s="1187" t="s">
        <v>921</v>
      </c>
      <c r="C57" s="1179" t="s">
        <v>953</v>
      </c>
      <c r="E57" s="1196"/>
      <c r="F57" s="1189" t="str">
        <f>IF(ISBLANK(E57),"",IF(ISNUMBER(E57),IF(E57-INT(E57)=0,"","  Errore ! Inserire un numero intero senza decimali"),"  Errore ! Inserire un numero intero senza decimali"))</f>
        <v/>
      </c>
      <c r="K57" s="1190" t="str">
        <f>LEFT(A57,3)</f>
        <v>ORG</v>
      </c>
      <c r="L57" s="1190" t="str">
        <f>RIGHT(A57,3)</f>
        <v>161</v>
      </c>
      <c r="M57" s="1190" t="str">
        <f>B57</f>
        <v>INT</v>
      </c>
      <c r="N57" s="1191" t="str">
        <f>IF(ISNUMBER(E57),ROUND(E57,0),"")</f>
        <v/>
      </c>
    </row>
    <row r="58" spans="1:14" s="1180" customFormat="1" ht="3.9" customHeight="1">
      <c r="A58" s="1200"/>
      <c r="B58" s="1192"/>
      <c r="C58" s="1183"/>
      <c r="D58" s="1183"/>
      <c r="E58" s="1193"/>
      <c r="F58" s="1179"/>
      <c r="H58" s="1181"/>
      <c r="I58" s="1182"/>
    </row>
    <row r="59" spans="1:14" s="1180" customFormat="1" ht="30" customHeight="1">
      <c r="A59" s="1200" t="s">
        <v>944</v>
      </c>
      <c r="B59" s="1187" t="s">
        <v>921</v>
      </c>
      <c r="C59" s="1179" t="s">
        <v>945</v>
      </c>
      <c r="E59" s="1196"/>
      <c r="F59" s="1189" t="str">
        <f>IF(ISBLANK(E59),"",IF(ISNUMBER(E59),IF(E59-INT(E59)=0,"","  Errore ! Inserire un numero intero senza decimali"),"  Errore ! Inserire un numero intero senza decimali"))</f>
        <v/>
      </c>
      <c r="K59" s="1190" t="str">
        <f>LEFT(A59,3)</f>
        <v>ORG</v>
      </c>
      <c r="L59" s="1190" t="str">
        <f>RIGHT(A59,3)</f>
        <v>271</v>
      </c>
      <c r="M59" s="1190" t="str">
        <f>B59</f>
        <v>INT</v>
      </c>
      <c r="N59" s="1191" t="str">
        <f>IF(ISNUMBER(E59),ROUND(E59,0),"")</f>
        <v/>
      </c>
    </row>
    <row r="60" spans="1:14" s="1180" customFormat="1" ht="3.9" customHeight="1">
      <c r="A60" s="1200"/>
      <c r="B60" s="1192"/>
      <c r="C60" s="1183"/>
      <c r="D60" s="1183"/>
      <c r="E60" s="1193"/>
      <c r="F60" s="1179"/>
      <c r="H60" s="1181"/>
      <c r="I60" s="1182"/>
    </row>
    <row r="61" spans="1:14" s="1180" customFormat="1" ht="30" customHeight="1">
      <c r="A61" s="1200" t="s">
        <v>954</v>
      </c>
      <c r="B61" s="1187" t="s">
        <v>921</v>
      </c>
      <c r="C61" s="1179" t="s">
        <v>955</v>
      </c>
      <c r="E61" s="1196"/>
      <c r="F61" s="1189" t="str">
        <f>IF(ISBLANK(E61),"",IF(ISNUMBER(E61),IF(E61-INT(E61)=0,"","  Errore ! Inserire un numero intero senza decimali"),"  Errore ! Inserire un numero intero senza decimali"))</f>
        <v/>
      </c>
      <c r="K61" s="1190" t="str">
        <f>LEFT(A61,3)</f>
        <v>ORG</v>
      </c>
      <c r="L61" s="1190" t="str">
        <f>RIGHT(A61,3)</f>
        <v>272</v>
      </c>
      <c r="M61" s="1190" t="str">
        <f>B61</f>
        <v>INT</v>
      </c>
      <c r="N61" s="1191" t="str">
        <f>IF(ISNUMBER(E61),ROUND(E61,0),"")</f>
        <v/>
      </c>
    </row>
    <row r="62" spans="1:14" s="1180" customFormat="1" ht="3.9" customHeight="1">
      <c r="A62" s="1186"/>
      <c r="B62" s="1192"/>
      <c r="C62" s="1183"/>
      <c r="D62" s="1183"/>
      <c r="E62" s="1185"/>
      <c r="F62" s="1179"/>
      <c r="H62" s="1181"/>
      <c r="I62" s="1182"/>
    </row>
    <row r="63" spans="1:14" s="1180" customFormat="1" ht="30" customHeight="1">
      <c r="A63" s="1029" t="s">
        <v>956</v>
      </c>
      <c r="B63" s="1029"/>
      <c r="C63" s="1031" t="s">
        <v>957</v>
      </c>
      <c r="D63" s="1029"/>
      <c r="E63" s="1032"/>
      <c r="F63" s="1179"/>
      <c r="H63" s="1181"/>
      <c r="I63" s="1182"/>
    </row>
    <row r="64" spans="1:14" s="1180" customFormat="1" ht="3.9" customHeight="1">
      <c r="A64" s="1183"/>
      <c r="B64" s="1192"/>
      <c r="C64" s="1183"/>
      <c r="D64" s="1183"/>
      <c r="E64" s="1185"/>
      <c r="F64" s="1179"/>
      <c r="H64" s="1181"/>
      <c r="I64" s="1182"/>
    </row>
    <row r="65" spans="1:14" s="1180" customFormat="1" ht="30" customHeight="1">
      <c r="A65" s="1186" t="s">
        <v>958</v>
      </c>
      <c r="B65" s="1187" t="s">
        <v>921</v>
      </c>
      <c r="C65" s="1179" t="s">
        <v>857</v>
      </c>
      <c r="E65" s="1196"/>
      <c r="F65" s="1189" t="str">
        <f>IF(ISBLANK(E65),"",IF(ISNUMBER(E65),IF(E65-INT(E65)=0,"","  Errore ! Inserire un numero intero senza decimali"),"  Errore ! Inserire un numero intero senza decimali"))</f>
        <v/>
      </c>
      <c r="K65" s="1190" t="str">
        <f>LEFT(A65,3)</f>
        <v>PRD</v>
      </c>
      <c r="L65" s="1190" t="str">
        <f>RIGHT(A65,3)</f>
        <v>137</v>
      </c>
      <c r="M65" s="1190" t="str">
        <f>B65</f>
        <v>INT</v>
      </c>
      <c r="N65" s="1191" t="str">
        <f>IF(ISNUMBER(E65),ROUND(E65,0),"")</f>
        <v/>
      </c>
    </row>
    <row r="66" spans="1:14" s="1180" customFormat="1" ht="3.9" customHeight="1">
      <c r="A66" s="1186"/>
      <c r="B66" s="1192"/>
      <c r="C66" s="1183"/>
      <c r="D66" s="1183"/>
      <c r="E66" s="1193"/>
      <c r="F66" s="1179"/>
      <c r="H66" s="1181"/>
      <c r="I66" s="1182"/>
    </row>
    <row r="67" spans="1:14" s="1180" customFormat="1" ht="30" customHeight="1">
      <c r="A67" s="1186" t="s">
        <v>959</v>
      </c>
      <c r="B67" s="1187" t="s">
        <v>921</v>
      </c>
      <c r="C67" s="1179" t="s">
        <v>960</v>
      </c>
      <c r="E67" s="1196"/>
      <c r="F67" s="1189" t="str">
        <f>IF(ISBLANK(E67),"",IF(ISNUMBER(E67),IF(E67-INT(E67)=0,"","  Errore ! Inserire un numero intero senza decimali"),"  Errore ! Inserire un numero intero senza decimali"))</f>
        <v/>
      </c>
      <c r="K67" s="1190" t="str">
        <f>LEFT(A67,3)</f>
        <v>PRD</v>
      </c>
      <c r="L67" s="1190" t="str">
        <f>RIGHT(A67,3)</f>
        <v>115</v>
      </c>
      <c r="M67" s="1190" t="str">
        <f>B67</f>
        <v>INT</v>
      </c>
      <c r="N67" s="1191" t="str">
        <f>IF(ISNUMBER(E67),ROUND(E67,0),"")</f>
        <v/>
      </c>
    </row>
    <row r="68" spans="1:14" s="1180" customFormat="1" ht="3.9" customHeight="1">
      <c r="A68" s="1186"/>
      <c r="B68" s="1192"/>
      <c r="C68" s="1183"/>
      <c r="D68" s="1183"/>
      <c r="E68" s="1193"/>
      <c r="F68" s="1179"/>
      <c r="H68" s="1181"/>
      <c r="I68" s="1182"/>
    </row>
    <row r="69" spans="1:14" s="1180" customFormat="1" ht="30" customHeight="1">
      <c r="A69" s="1200" t="s">
        <v>961</v>
      </c>
      <c r="B69" s="1187" t="s">
        <v>927</v>
      </c>
      <c r="C69" s="1179" t="s">
        <v>962</v>
      </c>
      <c r="E69" s="1198"/>
      <c r="F69" s="1189"/>
      <c r="K69" s="1190" t="str">
        <f>LEFT(A69,3)</f>
        <v>PRD</v>
      </c>
      <c r="L69" s="1190" t="str">
        <f>RIGHT(A69,3)</f>
        <v>152</v>
      </c>
      <c r="M69" s="1190" t="str">
        <f>B69</f>
        <v>PERC</v>
      </c>
      <c r="N69" s="1191" t="str">
        <f>IF(ISNUMBER(E69),ROUND(E69,4)*100,"")</f>
        <v/>
      </c>
    </row>
    <row r="70" spans="1:14" s="1180" customFormat="1" ht="3.9" customHeight="1">
      <c r="A70" s="1186"/>
      <c r="B70" s="1192"/>
      <c r="C70" s="1183"/>
      <c r="D70" s="1183"/>
      <c r="E70" s="1193"/>
      <c r="F70" s="1179"/>
      <c r="H70" s="1181"/>
      <c r="I70" s="1182"/>
    </row>
    <row r="71" spans="1:14" s="1180" customFormat="1" ht="30" customHeight="1">
      <c r="A71" s="1200" t="s">
        <v>963</v>
      </c>
      <c r="B71" s="1187" t="s">
        <v>917</v>
      </c>
      <c r="C71" s="1179" t="s">
        <v>1037</v>
      </c>
      <c r="E71" s="1188"/>
      <c r="F71" s="1189" t="str">
        <f>IF(AND(LEN(E71)=1,OR(UPPER(E71)="N",UPPER(E71)="S")),"",IF(ISBLANK(E71),"","  Errore ! Inserire S o N"))</f>
        <v/>
      </c>
      <c r="K71" s="1190" t="str">
        <f>LEFT(A71,3)</f>
        <v>PRD</v>
      </c>
      <c r="L71" s="1190" t="str">
        <f>RIGHT(A71,3)</f>
        <v>159</v>
      </c>
      <c r="M71" s="1190" t="str">
        <f>B71</f>
        <v>FLAG</v>
      </c>
      <c r="N71" s="1191" t="str">
        <f>IF(AND(LEN(E71)=1,OR(UPPER(E71)="N",UPPER(E71)="S")),UPPER(E71),"")</f>
        <v/>
      </c>
    </row>
    <row r="72" spans="1:14" s="1180" customFormat="1" ht="3.9" customHeight="1">
      <c r="A72" s="1200"/>
      <c r="B72" s="1192"/>
      <c r="C72" s="1183"/>
      <c r="D72" s="1183"/>
      <c r="E72" s="1193"/>
      <c r="F72" s="1179"/>
      <c r="H72" s="1181"/>
      <c r="I72" s="1182"/>
    </row>
    <row r="73" spans="1:14" s="1180" customFormat="1" ht="30" customHeight="1">
      <c r="A73" s="1200" t="s">
        <v>964</v>
      </c>
      <c r="B73" s="1187" t="s">
        <v>917</v>
      </c>
      <c r="C73" s="1202" t="s">
        <v>965</v>
      </c>
      <c r="E73" s="1188"/>
      <c r="F73" s="1189" t="str">
        <f>IF(AND(LEN(E73)=1,OR(UPPER(E73)="N",UPPER(E73)="S")),"",IF(ISBLANK(E73),"","  Errore ! Inserire S o N"))</f>
        <v/>
      </c>
      <c r="K73" s="1190" t="str">
        <f>LEFT(A73,3)</f>
        <v>PRD</v>
      </c>
      <c r="L73" s="1190" t="str">
        <f>RIGHT(A73,3)</f>
        <v>273</v>
      </c>
      <c r="M73" s="1190" t="str">
        <f>B73</f>
        <v>FLAG</v>
      </c>
      <c r="N73" s="1191" t="str">
        <f>IF(AND(LEN(E73)=1,OR(UPPER(E73)="N",UPPER(E73)="S")),UPPER(E73),"")</f>
        <v/>
      </c>
    </row>
    <row r="74" spans="1:14" s="1180" customFormat="1" ht="3.9" customHeight="1">
      <c r="A74" s="1203"/>
      <c r="B74" s="1192"/>
      <c r="C74" s="1183"/>
      <c r="D74" s="1183"/>
      <c r="E74" s="1193"/>
      <c r="F74" s="1179"/>
      <c r="H74" s="1181"/>
      <c r="I74" s="1182"/>
    </row>
    <row r="75" spans="1:14" s="1180" customFormat="1" ht="30" customHeight="1">
      <c r="A75" s="1200" t="s">
        <v>966</v>
      </c>
      <c r="B75" s="1187" t="s">
        <v>917</v>
      </c>
      <c r="C75" s="1202" t="s">
        <v>967</v>
      </c>
      <c r="E75" s="1188"/>
      <c r="F75" s="1189" t="str">
        <f>IF(AND(LEN(E75)=1,OR(UPPER(E75)="N",UPPER(E75)="S")),"",IF(ISBLANK(E75),"","  Errore ! Inserire S o N"))</f>
        <v/>
      </c>
      <c r="K75" s="1190" t="str">
        <f>LEFT(A75,3)</f>
        <v>PRD</v>
      </c>
      <c r="L75" s="1190" t="str">
        <f>RIGHT(A75,3)</f>
        <v>274</v>
      </c>
      <c r="M75" s="1190" t="str">
        <f>B75</f>
        <v>FLAG</v>
      </c>
      <c r="N75" s="1191" t="str">
        <f>IF(AND(LEN(E75)=1,OR(UPPER(E75)="N",UPPER(E75)="S")),UPPER(E75),"")</f>
        <v/>
      </c>
    </row>
    <row r="76" spans="1:14" s="1180" customFormat="1" ht="3.9" customHeight="1">
      <c r="A76" s="1203"/>
      <c r="B76" s="1192"/>
      <c r="C76" s="1183"/>
      <c r="D76" s="1183"/>
      <c r="E76" s="1193"/>
      <c r="F76" s="1179"/>
      <c r="H76" s="1181"/>
      <c r="I76" s="1182"/>
    </row>
    <row r="77" spans="1:14" s="1180" customFormat="1" ht="30" customHeight="1">
      <c r="A77" s="1200" t="s">
        <v>968</v>
      </c>
      <c r="B77" s="1187" t="s">
        <v>917</v>
      </c>
      <c r="C77" s="1202" t="s">
        <v>969</v>
      </c>
      <c r="E77" s="1188"/>
      <c r="F77" s="1189" t="str">
        <f>IF(AND(LEN(E77)=1,OR(UPPER(E77)="N",UPPER(E77)="S")),"",IF(ISBLANK(E77),"","  Errore ! Inserire S o N"))</f>
        <v/>
      </c>
      <c r="K77" s="1190" t="str">
        <f>LEFT(A77,3)</f>
        <v>PRD</v>
      </c>
      <c r="L77" s="1190" t="str">
        <f>RIGHT(A77,3)</f>
        <v>275</v>
      </c>
      <c r="M77" s="1190" t="str">
        <f>B77</f>
        <v>FLAG</v>
      </c>
      <c r="N77" s="1191" t="str">
        <f>IF(AND(LEN(E77)=1,OR(UPPER(E77)="N",UPPER(E77)="S")),UPPER(E77),"")</f>
        <v/>
      </c>
    </row>
    <row r="78" spans="1:14" s="1180" customFormat="1" ht="3.9" customHeight="1">
      <c r="A78" s="1204"/>
      <c r="B78" s="1192"/>
      <c r="C78" s="1183"/>
      <c r="D78" s="1183"/>
      <c r="E78" s="1185"/>
      <c r="F78" s="1179"/>
      <c r="H78" s="1181"/>
      <c r="I78" s="1182"/>
    </row>
    <row r="79" spans="1:14" s="1180" customFormat="1" ht="30" customHeight="1">
      <c r="A79" s="1029" t="s">
        <v>970</v>
      </c>
      <c r="B79" s="1029"/>
      <c r="C79" s="1031" t="s">
        <v>460</v>
      </c>
      <c r="D79" s="1029"/>
      <c r="E79" s="1032"/>
      <c r="F79" s="1179"/>
      <c r="H79" s="1181"/>
      <c r="I79" s="1182"/>
    </row>
    <row r="80" spans="1:14" s="1180" customFormat="1" ht="3.9" customHeight="1">
      <c r="A80" s="1183"/>
      <c r="B80" s="1192"/>
      <c r="C80" s="1183"/>
      <c r="D80" s="1183"/>
      <c r="E80" s="1185"/>
      <c r="F80" s="1179"/>
      <c r="H80" s="1181"/>
      <c r="I80" s="1182"/>
    </row>
    <row r="81" spans="1:14" s="1180" customFormat="1" ht="30" customHeight="1">
      <c r="A81" s="1186" t="s">
        <v>971</v>
      </c>
      <c r="B81" s="1187" t="s">
        <v>917</v>
      </c>
      <c r="C81" s="1179" t="s">
        <v>82</v>
      </c>
      <c r="E81" s="1188"/>
      <c r="F81" s="1189" t="str">
        <f>IF(AND(LEN(E81)=1,OR(UPPER(E81)="N",UPPER(E81)="S")),"",IF(ISBLANK(E81),"","  Errore ! Inserire S o N"))</f>
        <v/>
      </c>
      <c r="K81" s="1190" t="str">
        <f>LEFT(A81,3)</f>
        <v>CPL</v>
      </c>
      <c r="L81" s="1190" t="str">
        <f>RIGHT(A81,3)</f>
        <v>120</v>
      </c>
      <c r="M81" s="1190" t="str">
        <f>B81</f>
        <v>FLAG</v>
      </c>
      <c r="N81" s="1191" t="str">
        <f>IF(AND(LEN(E81)=1,OR(UPPER(E81)="N",UPPER(E81)="S")),UPPER(E81),"")</f>
        <v/>
      </c>
    </row>
    <row r="82" spans="1:14" s="1180" customFormat="1" ht="3.9" customHeight="1">
      <c r="A82" s="1204"/>
      <c r="B82" s="1192"/>
      <c r="C82" s="1183"/>
      <c r="D82" s="1183"/>
      <c r="E82" s="1193"/>
      <c r="F82" s="1179"/>
      <c r="H82" s="1181"/>
      <c r="I82" s="1182"/>
    </row>
    <row r="83" spans="1:14" s="1180" customFormat="1" ht="30" customHeight="1">
      <c r="A83" s="1186" t="s">
        <v>972</v>
      </c>
      <c r="B83" s="1187" t="s">
        <v>917</v>
      </c>
      <c r="C83" s="1179" t="s">
        <v>973</v>
      </c>
      <c r="E83" s="1188"/>
      <c r="F83" s="1189" t="str">
        <f>IF(OR(ISBLANK(E83),E83="Singola",E83="Associata"),"","  Errore ! Inserire Singola o Associata")</f>
        <v/>
      </c>
      <c r="K83" s="1190" t="str">
        <f>LEFT(A83,3)</f>
        <v>CPL</v>
      </c>
      <c r="L83" s="1190" t="str">
        <f>RIGHT(A83,3)</f>
        <v>150</v>
      </c>
      <c r="M83" s="1190" t="str">
        <f>B83</f>
        <v>FLAG</v>
      </c>
      <c r="N83" s="1191" t="str">
        <f>IF(E83="singola","S",IF(E83="associata","N",""))</f>
        <v/>
      </c>
    </row>
    <row r="84" spans="1:14" s="1180" customFormat="1" ht="3.9" customHeight="1">
      <c r="A84" s="1204"/>
      <c r="B84" s="1192"/>
      <c r="C84" s="1183"/>
      <c r="D84" s="1183"/>
      <c r="E84" s="1193"/>
      <c r="F84" s="1179"/>
      <c r="H84" s="1181"/>
      <c r="I84" s="1182"/>
    </row>
    <row r="85" spans="1:14" s="1180" customFormat="1" ht="30" customHeight="1">
      <c r="A85" s="1200" t="s">
        <v>974</v>
      </c>
      <c r="B85" s="1187" t="s">
        <v>917</v>
      </c>
      <c r="C85" s="1205" t="s">
        <v>975</v>
      </c>
      <c r="E85" s="1188"/>
      <c r="F85" s="1189" t="str">
        <f>IF(AND(LEN(E85)=1,OR(UPPER(E85)="N",UPPER(E85)="S")),"",IF(ISBLANK(E85),"","  Errore ! Inserire S o N"))</f>
        <v/>
      </c>
      <c r="K85" s="1190" t="str">
        <f>LEFT(A85,3)</f>
        <v>CPL</v>
      </c>
      <c r="L85" s="1190" t="str">
        <f>RIGHT(A85,3)</f>
        <v>286</v>
      </c>
      <c r="M85" s="1190" t="str">
        <f>B85</f>
        <v>FLAG</v>
      </c>
      <c r="N85" s="1191" t="str">
        <f>IF(AND(LEN(E85)=1,OR(UPPER(E85)="N",UPPER(E85)="S")),UPPER(E85),"")</f>
        <v/>
      </c>
    </row>
    <row r="86" spans="1:14" s="1180" customFormat="1" ht="3.9" customHeight="1">
      <c r="A86" s="1204"/>
      <c r="B86" s="1192"/>
      <c r="C86" s="1183"/>
      <c r="D86" s="1183"/>
      <c r="E86" s="1193"/>
      <c r="F86" s="1179"/>
      <c r="H86" s="1181"/>
      <c r="I86" s="1182"/>
    </row>
    <row r="87" spans="1:14" s="1180" customFormat="1" ht="30" customHeight="1">
      <c r="A87" s="1200" t="s">
        <v>976</v>
      </c>
      <c r="B87" s="1187" t="s">
        <v>917</v>
      </c>
      <c r="C87" s="1179" t="s">
        <v>977</v>
      </c>
      <c r="E87" s="1188"/>
      <c r="F87" s="1189" t="str">
        <f>IF(OR(ISBLANK(E87),E87="Singola",E87="Associata"),"","  Errore ! Inserire Singola o Associata")</f>
        <v/>
      </c>
      <c r="K87" s="1190" t="str">
        <f>LEFT(A87,3)</f>
        <v>CPL</v>
      </c>
      <c r="L87" s="1190" t="str">
        <f>RIGHT(A87,3)</f>
        <v>147</v>
      </c>
      <c r="M87" s="1190" t="str">
        <f>B87</f>
        <v>FLAG</v>
      </c>
      <c r="N87" s="1191" t="str">
        <f>IF(E87="singola","S",IF(E87="associata","N",""))</f>
        <v/>
      </c>
    </row>
    <row r="88" spans="1:14" s="1180" customFormat="1" ht="3.9" customHeight="1">
      <c r="A88" s="1204"/>
      <c r="B88" s="1192"/>
      <c r="C88" s="1183"/>
      <c r="D88" s="1183"/>
      <c r="E88" s="1193"/>
      <c r="F88" s="1179"/>
      <c r="H88" s="1181"/>
      <c r="I88" s="1182"/>
    </row>
    <row r="89" spans="1:14" s="1180" customFormat="1" ht="30" customHeight="1">
      <c r="A89" s="1029" t="s">
        <v>978</v>
      </c>
      <c r="B89" s="1029"/>
      <c r="C89" s="1031" t="s">
        <v>979</v>
      </c>
      <c r="D89" s="1029"/>
      <c r="E89" s="1032"/>
      <c r="F89" s="1179"/>
      <c r="H89" s="1181"/>
      <c r="I89" s="1182"/>
    </row>
    <row r="90" spans="1:14" s="1180" customFormat="1" ht="3.9" customHeight="1">
      <c r="A90" s="1204"/>
      <c r="B90" s="1192"/>
      <c r="C90" s="1183"/>
      <c r="D90" s="1183"/>
      <c r="E90" s="1185"/>
      <c r="F90" s="1179"/>
      <c r="H90" s="1181"/>
      <c r="I90" s="1182"/>
    </row>
    <row r="91" spans="1:14" s="1180" customFormat="1">
      <c r="A91" s="1186" t="s">
        <v>980</v>
      </c>
      <c r="B91" s="1187" t="s">
        <v>693</v>
      </c>
      <c r="C91" s="1183" t="s">
        <v>981</v>
      </c>
      <c r="E91" s="1185"/>
      <c r="F91" s="1179"/>
      <c r="K91" s="1190" t="str">
        <f>LEFT(A91,3)</f>
        <v>INF</v>
      </c>
      <c r="L91" s="1190" t="str">
        <f>RIGHT(A91,3)</f>
        <v>209</v>
      </c>
      <c r="M91" s="1190" t="str">
        <f>B91</f>
        <v>NOTE</v>
      </c>
      <c r="N91" s="1180" t="str">
        <f>IF(ISBLANK(C92),"",LEFT(C92,1500))</f>
        <v/>
      </c>
    </row>
    <row r="92" spans="1:14" s="1180" customFormat="1" ht="45" customHeight="1">
      <c r="A92" s="1206"/>
      <c r="B92" s="1207"/>
      <c r="C92" s="1511"/>
      <c r="D92" s="1512"/>
      <c r="E92" s="1513"/>
      <c r="F92" s="1227" t="str">
        <f>IF(LEN(C92)&gt;1500,"Attenzione, è stato superato il numero massimo di 1500 caratteri","")</f>
        <v/>
      </c>
      <c r="H92" s="1181"/>
    </row>
    <row r="93" spans="1:14" s="1180" customFormat="1">
      <c r="A93" s="1208"/>
      <c r="B93" s="1187"/>
      <c r="C93" s="1183"/>
      <c r="D93" s="1183"/>
      <c r="E93" s="1209"/>
      <c r="F93" s="1179"/>
      <c r="H93" s="1181"/>
      <c r="I93" s="1210"/>
    </row>
    <row r="94" spans="1:14" s="1180" customFormat="1">
      <c r="A94" s="1186" t="s">
        <v>982</v>
      </c>
      <c r="B94" s="1187" t="s">
        <v>693</v>
      </c>
      <c r="C94" s="1183" t="s">
        <v>983</v>
      </c>
      <c r="E94" s="1185"/>
      <c r="F94" s="1179"/>
      <c r="K94" s="1190" t="str">
        <f>LEFT(A94,3)</f>
        <v>INF</v>
      </c>
      <c r="L94" s="1190" t="str">
        <f>RIGHT(A94,3)</f>
        <v>127</v>
      </c>
      <c r="M94" s="1190" t="str">
        <f>B94</f>
        <v>NOTE</v>
      </c>
      <c r="N94" s="1180" t="str">
        <f>IF(ISBLANK(C95),"",LEFT(C95,1500))</f>
        <v/>
      </c>
    </row>
    <row r="95" spans="1:14" s="1180" customFormat="1" ht="45" customHeight="1">
      <c r="A95" s="1206"/>
      <c r="B95" s="1211"/>
      <c r="C95" s="1511"/>
      <c r="D95" s="1512"/>
      <c r="E95" s="1513"/>
      <c r="F95" s="1227" t="str">
        <f>IF(LEN(C95)&gt;1500,"Attenzione, è stato superato il numero massimo di 1500 caratteri","")</f>
        <v/>
      </c>
      <c r="H95" s="1181"/>
      <c r="K95" s="1212" t="s">
        <v>746</v>
      </c>
    </row>
  </sheetData>
  <sheetCalcPr fullCalcOnLoad="1"/>
  <sheetProtection password="EA98" sheet="1" selectLockedCells="1"/>
  <mergeCells count="5">
    <mergeCell ref="F2:F3"/>
    <mergeCell ref="F4:F5"/>
    <mergeCell ref="F6:F9"/>
    <mergeCell ref="C92:E92"/>
    <mergeCell ref="C95:E95"/>
  </mergeCells>
  <dataValidations count="8">
    <dataValidation type="date" allowBlank="1" showInputMessage="1" showErrorMessage="1" errorTitle="Errore di digitazione" error="Digitare una data non anteriore al 1 Gennaio dell'anno precedente alla di rilevazione (gg/mm/aaaa)" sqref="E21">
      <formula1>42370</formula1>
      <formula2>TODAY()</formula2>
    </dataValidation>
    <dataValidation type="list" allowBlank="1" showDropDown="1" showInputMessage="1" showErrorMessage="1" errorTitle="Errore di digitazione" error="Digitare 'S' o 'N' o lasciare in bianco" sqref="E15 E13 E71 E73 E75 E77 E81 E85">
      <formula1>"s,n,S,N"</formula1>
    </dataValidation>
    <dataValidation type="date" allowBlank="1" showInputMessage="1" showErrorMessage="1" errorTitle="Errore di digitazione" error="Digitare una data valida nel formato gg/mm/aaaa" sqref="E20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E23 E27 E33 E35 E37 E41 E43 E47 E49 E51 E59 E45 E53 E55 E57 E61 E65 E67 E29 E31">
      <formula1>100000000000000</formula1>
    </dataValidation>
    <dataValidation type="custom" operator="lessThan" allowBlank="1" showInputMessage="1" showErrorMessage="1" errorTitle="Errore di digitazione" error="Inserire solo valori percentuali con al massimo due cifre decimali e chiudere con il simbolo %." sqref="E69">
      <formula1>OR(E69=0,E69-INT(E69*10000)/10000=0)</formula1>
    </dataValidation>
    <dataValidation type="textLength" allowBlank="1" showInputMessage="1" showErrorMessage="1" errorTitle="Errore di digitazione" error="Inserire massimo 1500 caratteri" sqref="C92:E92 C95:E95">
      <formula1>0</formula1>
      <formula2>1500</formula2>
    </dataValidation>
    <dataValidation type="list" showInputMessage="1" showErrorMessage="1" errorTitle="Errore di digitazione" error="Digitare 'Singola' o 'Associata' o lasciare in bianco" sqref="E87 E83">
      <formula1>"Singola,Associata"</formula1>
    </dataValidation>
    <dataValidation type="date" allowBlank="1" showInputMessage="1" showErrorMessage="1" errorTitle="Errore di digitazione" error="Digitare una data non anteriore al 1 Gennaio dell'anno precedente alla di rilevazione (gg/mm/aaaa)" sqref="E17 E19">
      <formula1>42370</formula1>
      <formula2>TODAY()</formula2>
    </dataValidation>
  </dataValidations>
  <pageMargins left="0.7" right="0.7" top="0.75" bottom="0.75" header="0.3" footer="0.3"/>
  <pageSetup paperSize="9" scale="50" orientation="portrait" r:id="rId1"/>
  <rowBreaks count="1" manualBreakCount="1">
    <brk id="38" max="4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:N99"/>
  <sheetViews>
    <sheetView showGridLines="0" topLeftCell="A2" zoomScale="75" zoomScaleNormal="75" workbookViewId="0">
      <selection activeCell="E13" sqref="E13"/>
    </sheetView>
  </sheetViews>
  <sheetFormatPr defaultColWidth="9.28515625" defaultRowHeight="15"/>
  <cols>
    <col min="1" max="2" width="9.28515625" style="1213" customWidth="1"/>
    <col min="3" max="3" width="167.42578125" style="1178" customWidth="1"/>
    <col min="4" max="4" width="2.7109375" style="1178" customWidth="1"/>
    <col min="5" max="5" width="16.85546875" style="1215" customWidth="1"/>
    <col min="6" max="6" width="47.42578125" style="1175" customWidth="1"/>
    <col min="7" max="10" width="12" style="1178" customWidth="1"/>
    <col min="11" max="13" width="12" style="1178" hidden="1" customWidth="1"/>
    <col min="14" max="14" width="14.85546875" style="1178" hidden="1" customWidth="1"/>
    <col min="15" max="16" width="12" style="1178" customWidth="1"/>
    <col min="17" max="16384" width="9.28515625" style="1178"/>
  </cols>
  <sheetData>
    <row r="1" spans="1:14" s="1139" customFormat="1" ht="45" customHeight="1" thickBot="1">
      <c r="A1" s="1022" t="s">
        <v>904</v>
      </c>
      <c r="B1" s="1022"/>
      <c r="C1" s="1023"/>
      <c r="D1" s="1023"/>
      <c r="E1" s="1024"/>
      <c r="F1" s="1025" t="s">
        <v>905</v>
      </c>
      <c r="H1" s="1216" t="s">
        <v>352</v>
      </c>
    </row>
    <row r="2" spans="1:14" s="1139" customFormat="1" ht="41.4" customHeight="1">
      <c r="A2" s="1026" t="s">
        <v>906</v>
      </c>
      <c r="B2" s="1026"/>
      <c r="C2" s="1027"/>
      <c r="D2" s="1028"/>
      <c r="E2" s="1128"/>
      <c r="F2" s="1505" t="str">
        <f>IF(AND(ISBLANK($E$23),OR(SUM('t1'!$AJ$16:$AK$47)&gt;0,SUM('t12'!$AA$16:$AA$47)&gt;0)),"Attenzione: è necessario compilare la domanda GEN195 !!!","OK")</f>
        <v>Attenzione: è necessario compilare la domanda GEN195 !!!</v>
      </c>
    </row>
    <row r="3" spans="1:14" s="1146" customFormat="1" ht="30" customHeight="1" thickBot="1">
      <c r="A3" s="1129"/>
      <c r="B3" s="1134"/>
      <c r="C3" s="1130"/>
      <c r="D3" s="1131"/>
      <c r="E3" s="1132"/>
      <c r="F3" s="1506"/>
      <c r="K3" s="1217"/>
    </row>
    <row r="4" spans="1:14" s="1139" customFormat="1" ht="16.5" customHeight="1">
      <c r="A4" s="1147"/>
      <c r="B4" s="1147"/>
      <c r="C4" s="1149"/>
      <c r="D4" s="1149"/>
      <c r="E4" s="1149"/>
      <c r="F4" s="1507" t="s">
        <v>907</v>
      </c>
      <c r="K4" s="1217"/>
    </row>
    <row r="5" spans="1:14" s="1139" customFormat="1" ht="20.25" customHeight="1" thickBot="1">
      <c r="C5" s="1152" t="s">
        <v>461</v>
      </c>
      <c r="F5" s="1508"/>
    </row>
    <row r="6" spans="1:14" s="1158" customFormat="1" ht="21">
      <c r="A6" s="1154" t="str">
        <f>'t1'!$A$1</f>
        <v>COMPARTO REGIONI ED AUTONOMIE LOCALI - anno 2017</v>
      </c>
      <c r="B6" s="1154"/>
      <c r="C6" s="1156"/>
      <c r="D6" s="1157"/>
      <c r="E6" s="1157"/>
      <c r="F6" s="1509" t="str">
        <f>IF(AND(ISBLANK(E17),ISBLANK(E19),ISBLANK(E21)),"OK",IF(AND(OR(ISBLANK(E17),YEAR(E17)&gt;'t1'!M1-1),OR(ISBLANK(E19),YEAR(E19)&gt;'t1'!M1-1),OR(ISBLANK(E21),YEAR(E21)&gt;'t1'!M1-1)),"OK","Attenzione: almeno una data di certificazione è antececedente l'anno "&amp;'t1'!M1&amp;", è necessario giustificare"))</f>
        <v>OK</v>
      </c>
    </row>
    <row r="7" spans="1:14" s="1158" customFormat="1" ht="11.25" customHeight="1">
      <c r="A7" s="1160"/>
      <c r="B7" s="1160"/>
      <c r="C7" s="1162"/>
      <c r="D7" s="1162"/>
      <c r="E7" s="1163"/>
      <c r="F7" s="1510"/>
    </row>
    <row r="8" spans="1:14" s="1158" customFormat="1" ht="30.75" customHeight="1">
      <c r="A8" s="1166"/>
      <c r="B8" s="1166"/>
      <c r="C8" s="1133" t="s">
        <v>984</v>
      </c>
      <c r="F8" s="1510"/>
      <c r="N8" s="1136" t="s">
        <v>909</v>
      </c>
    </row>
    <row r="9" spans="1:14" s="1158" customFormat="1" ht="30.75" customHeight="1" thickBot="1">
      <c r="A9" s="1166"/>
      <c r="B9" s="1166"/>
      <c r="C9" s="1162"/>
      <c r="D9" s="1162"/>
      <c r="E9" s="1167"/>
      <c r="F9" s="1506"/>
      <c r="N9" s="1170">
        <f>(COUNTIF(E:E,"&lt;&gt;"&amp;"")+COUNTIF(C96,"&lt;&gt;"&amp;"")+COUNTIF(C99,"&lt;&gt;"&amp;""))</f>
        <v>0</v>
      </c>
    </row>
    <row r="10" spans="1:14" ht="3.9" customHeight="1">
      <c r="A10" s="1171"/>
      <c r="B10" s="1171"/>
      <c r="C10" s="1173"/>
      <c r="D10" s="1171"/>
      <c r="E10" s="1174"/>
    </row>
    <row r="11" spans="1:14" s="1180" customFormat="1" ht="30" customHeight="1">
      <c r="A11" s="1029" t="s">
        <v>910</v>
      </c>
      <c r="B11" s="1029"/>
      <c r="C11" s="1031" t="s">
        <v>911</v>
      </c>
      <c r="D11" s="1029"/>
      <c r="E11" s="1032"/>
      <c r="F11" s="1179"/>
      <c r="K11" s="1136" t="s">
        <v>912</v>
      </c>
      <c r="L11" s="1136" t="s">
        <v>913</v>
      </c>
      <c r="M11" s="1136" t="s">
        <v>914</v>
      </c>
      <c r="N11" s="1136" t="s">
        <v>915</v>
      </c>
    </row>
    <row r="12" spans="1:14" s="1180" customFormat="1" ht="3.9" customHeight="1">
      <c r="A12" s="1183"/>
      <c r="B12" s="1183"/>
      <c r="C12" s="1183"/>
      <c r="D12" s="1183"/>
      <c r="E12" s="1185"/>
      <c r="F12" s="1179"/>
      <c r="K12" s="1218"/>
      <c r="L12" s="1218"/>
      <c r="M12" s="1218"/>
      <c r="N12" s="1218"/>
    </row>
    <row r="13" spans="1:14" s="1180" customFormat="1" ht="30" customHeight="1">
      <c r="A13" s="1186" t="s">
        <v>918</v>
      </c>
      <c r="B13" s="1187" t="s">
        <v>917</v>
      </c>
      <c r="C13" s="1179" t="s">
        <v>1035</v>
      </c>
      <c r="E13" s="1188"/>
      <c r="F13" s="1219" t="str">
        <f>IF(AND(LEN(E13)=1,OR(UPPER(E13)="N",UPPER(E13)="S")),"",IF(ISBLANK(E13),"","  Errore ! Inserire S o N"))</f>
        <v/>
      </c>
      <c r="K13" s="1190" t="str">
        <f>LEFT(A13,3)</f>
        <v>GEN</v>
      </c>
      <c r="L13" s="1190" t="str">
        <f>RIGHT(A13,3)</f>
        <v>172</v>
      </c>
      <c r="M13" s="1190" t="str">
        <f>B13</f>
        <v>FLAG</v>
      </c>
      <c r="N13" s="1191" t="str">
        <f>IF(AND(LEN(E13)=1,OR(UPPER(E13)="N",UPPER(E13)="S")),UPPER(E13),"")</f>
        <v/>
      </c>
    </row>
    <row r="14" spans="1:14" s="1180" customFormat="1" ht="3.9" customHeight="1">
      <c r="A14" s="1186"/>
      <c r="B14" s="1186"/>
      <c r="C14" s="1183"/>
      <c r="D14" s="1183"/>
      <c r="E14" s="1193"/>
      <c r="F14" s="1220"/>
    </row>
    <row r="15" spans="1:14" s="1180" customFormat="1" ht="30" customHeight="1">
      <c r="A15" s="1186" t="s">
        <v>916</v>
      </c>
      <c r="B15" s="1187" t="s">
        <v>917</v>
      </c>
      <c r="C15" s="1179" t="s">
        <v>1036</v>
      </c>
      <c r="E15" s="1188"/>
      <c r="F15" s="1219" t="str">
        <f>IF(AND(LEN(E15)=1,OR(UPPER(E15)="N",UPPER(E15)="S")),"",IF(ISBLANK(E15),"","  Errore ! Inserire S o N"))</f>
        <v/>
      </c>
      <c r="K15" s="1190" t="str">
        <f>LEFT(A15,3)</f>
        <v>GEN</v>
      </c>
      <c r="L15" s="1190" t="str">
        <f>RIGHT(A15,3)</f>
        <v>207</v>
      </c>
      <c r="M15" s="1190" t="str">
        <f>B15</f>
        <v>FLAG</v>
      </c>
      <c r="N15" s="1191" t="str">
        <f>IF(AND(LEN(E15)=1,OR(UPPER(E15)="N",UPPER(E15)="S")),UPPER(E15),"")</f>
        <v/>
      </c>
    </row>
    <row r="16" spans="1:14" s="1180" customFormat="1" ht="3.9" customHeight="1">
      <c r="A16" s="1186"/>
      <c r="B16" s="1186"/>
      <c r="C16" s="1183"/>
      <c r="D16" s="1183"/>
      <c r="E16" s="1193"/>
      <c r="F16" s="1220"/>
    </row>
    <row r="17" spans="1:14" s="1180" customFormat="1" ht="30" customHeight="1">
      <c r="A17" s="1186" t="s">
        <v>1097</v>
      </c>
      <c r="B17" s="1187" t="s">
        <v>919</v>
      </c>
      <c r="C17" s="1179" t="s">
        <v>1098</v>
      </c>
      <c r="E17" s="1194"/>
      <c r="F17" s="1300" t="str">
        <f ca="1">IF(ISBLANK(E17),"",IF(AND(E17&gt;=DATE(2016,1,1),E17&lt;=TODAY()),"","Digitare una data non anteriore al 1 Gennaio "&amp;'t1'!M1-1&amp;" (gg/mm/aaaa)"))</f>
        <v/>
      </c>
      <c r="K17" s="1190" t="str">
        <f>LEFT(A17,3)</f>
        <v>GEN</v>
      </c>
      <c r="L17" s="1190" t="str">
        <f>RIGHT(A17,3)</f>
        <v>353</v>
      </c>
      <c r="M17" s="1190" t="str">
        <f>B17</f>
        <v>DATE</v>
      </c>
      <c r="N17" s="1195" t="str">
        <f ca="1">IF(AND(E17&gt;=DATE(2016,1,1),E17&lt;=TODAY()),"'"&amp;DAY(E17)&amp;"/"&amp;MONTH(E17)&amp;"/"&amp;YEAR(E17),"")</f>
        <v/>
      </c>
    </row>
    <row r="18" spans="1:14" s="1180" customFormat="1" ht="3.9" customHeight="1">
      <c r="A18" s="1186"/>
      <c r="B18" s="1192"/>
      <c r="C18" s="1183"/>
      <c r="D18" s="1183"/>
      <c r="E18" s="1193"/>
      <c r="F18" s="1301"/>
      <c r="H18" s="1181"/>
      <c r="I18" s="1182"/>
    </row>
    <row r="19" spans="1:14" s="1180" customFormat="1" ht="30" customHeight="1">
      <c r="A19" s="1186" t="s">
        <v>1099</v>
      </c>
      <c r="B19" s="1187" t="s">
        <v>919</v>
      </c>
      <c r="C19" s="1179" t="s">
        <v>1100</v>
      </c>
      <c r="E19" s="1194"/>
      <c r="F19" s="1300" t="str">
        <f ca="1">IF(ISBLANK(E19),"",IF(AND(E19&gt;=DATE(2016,1,1),E19&lt;=TODAY()),"","Digitare una data non anteriore al 1 Gennaio "&amp;'t1'!M1-1&amp;" (gg/mm/aaaa)"))</f>
        <v/>
      </c>
      <c r="K19" s="1190" t="str">
        <f>LEFT(A19,3)</f>
        <v>GEN</v>
      </c>
      <c r="L19" s="1190" t="str">
        <f>RIGHT(A19,3)</f>
        <v>354</v>
      </c>
      <c r="M19" s="1190" t="str">
        <f>B19</f>
        <v>DATE</v>
      </c>
      <c r="N19" s="1195" t="str">
        <f ca="1">IF(AND(E19&gt;=DATE(2016,1,1),E19&lt;=TODAY()),"'"&amp;DAY(E19)&amp;"/"&amp;MONTH(E19)&amp;"/"&amp;YEAR(E19),"")</f>
        <v/>
      </c>
    </row>
    <row r="20" spans="1:14" s="1180" customFormat="1" ht="3.9" customHeight="1">
      <c r="A20" s="1186"/>
      <c r="B20" s="1187"/>
      <c r="C20" s="1179"/>
      <c r="E20" s="1297"/>
      <c r="F20" s="1301"/>
      <c r="K20" s="1190"/>
      <c r="L20" s="1190"/>
      <c r="M20" s="1190"/>
      <c r="N20" s="1195"/>
    </row>
    <row r="21" spans="1:14" s="1180" customFormat="1" ht="30" customHeight="1">
      <c r="A21" s="1186" t="s">
        <v>1101</v>
      </c>
      <c r="B21" s="1187" t="s">
        <v>919</v>
      </c>
      <c r="C21" s="1179" t="s">
        <v>1102</v>
      </c>
      <c r="E21" s="1194"/>
      <c r="F21" s="1300" t="str">
        <f ca="1">IF(ISBLANK(E21),"",IF(AND(E21&gt;=DATE(2016,1,1),E21&lt;=TODAY()),"","Digitare una data non anteriore al 1 Gennaio "&amp;'t1'!M1-1&amp;" (gg/mm/aaaa)"))</f>
        <v/>
      </c>
      <c r="K21" s="1190" t="str">
        <f>LEFT(A21,3)</f>
        <v>GEN</v>
      </c>
      <c r="L21" s="1190" t="str">
        <f>RIGHT(A21,3)</f>
        <v>355</v>
      </c>
      <c r="M21" s="1190" t="str">
        <f>B21</f>
        <v>DATE</v>
      </c>
      <c r="N21" s="1195" t="str">
        <f ca="1">IF(AND(E21&gt;=DATE(2016,1,1),E21&lt;=TODAY()),"'"&amp;DAY(E21)&amp;"/"&amp;MONTH(E21)&amp;"/"&amp;YEAR(E21),"")</f>
        <v/>
      </c>
    </row>
    <row r="22" spans="1:14" s="1180" customFormat="1" ht="3.9" customHeight="1">
      <c r="A22" s="1186"/>
      <c r="B22" s="1192"/>
      <c r="C22" s="1183"/>
      <c r="D22" s="1183"/>
      <c r="E22" s="1193"/>
      <c r="F22" s="1179"/>
      <c r="H22" s="1181"/>
      <c r="I22" s="1182"/>
    </row>
    <row r="23" spans="1:14" s="1180" customFormat="1" ht="30" customHeight="1">
      <c r="A23" s="1186" t="s">
        <v>920</v>
      </c>
      <c r="B23" s="1187" t="s">
        <v>921</v>
      </c>
      <c r="C23" s="1179" t="s">
        <v>922</v>
      </c>
      <c r="E23" s="1221"/>
      <c r="F23" s="1219" t="str">
        <f>IF(ISBLANK(E23),"",IF(ISNUMBER(E23),IF(E23-INT(E23)=0,"","  Errore ! Inserire un numero intero senza decimali"),"  Errore ! Inserire un numero intero senza decimali"))</f>
        <v/>
      </c>
      <c r="K23" s="1190" t="str">
        <f>LEFT(A23,3)</f>
        <v>GEN</v>
      </c>
      <c r="L23" s="1190" t="str">
        <f>RIGHT(A23,3)</f>
        <v>195</v>
      </c>
      <c r="M23" s="1190" t="str">
        <f>B23</f>
        <v>INT</v>
      </c>
      <c r="N23" s="1191" t="str">
        <f>IF(ISNUMBER(E23),ROUND(E23,0),"")</f>
        <v/>
      </c>
    </row>
    <row r="24" spans="1:14" s="1180" customFormat="1" ht="3.9" customHeight="1">
      <c r="A24" s="1197"/>
      <c r="B24" s="1197"/>
      <c r="C24" s="1183"/>
      <c r="D24" s="1183"/>
      <c r="E24" s="1185"/>
      <c r="F24" s="1220"/>
    </row>
    <row r="25" spans="1:14" s="1180" customFormat="1" ht="30" customHeight="1">
      <c r="A25" s="1029" t="s">
        <v>923</v>
      </c>
      <c r="B25" s="1029"/>
      <c r="C25" s="1031" t="s">
        <v>924</v>
      </c>
      <c r="D25" s="1029"/>
      <c r="E25" s="1032"/>
      <c r="F25" s="1220"/>
    </row>
    <row r="26" spans="1:14" s="1180" customFormat="1" ht="3.9" customHeight="1">
      <c r="A26" s="1183"/>
      <c r="B26" s="1183"/>
      <c r="C26" s="1183"/>
      <c r="D26" s="1183"/>
      <c r="E26" s="1185"/>
      <c r="F26" s="1220"/>
    </row>
    <row r="27" spans="1:14" s="1180" customFormat="1" ht="30" customHeight="1">
      <c r="A27" s="1186" t="s">
        <v>925</v>
      </c>
      <c r="B27" s="1187" t="s">
        <v>921</v>
      </c>
      <c r="C27" s="1179" t="s">
        <v>926</v>
      </c>
      <c r="E27" s="1196"/>
      <c r="F27" s="1219" t="str">
        <f>IF(ISBLANK(E27),"",IF(ISNUMBER(E27),IF(E27-INT(E27)=0,"","  Errore ! Inserire un numero intero senza decimali"),"  Errore ! Inserire un numero intero senza decimali"))</f>
        <v/>
      </c>
      <c r="K27" s="1190" t="str">
        <f>LEFT(A27,3)</f>
        <v>LEG</v>
      </c>
      <c r="L27" s="1190" t="str">
        <f>RIGHT(A27,3)</f>
        <v>157</v>
      </c>
      <c r="M27" s="1190" t="str">
        <f>B27</f>
        <v>INT</v>
      </c>
      <c r="N27" s="1191" t="str">
        <f>IF(ISNUMBER(E27),ROUND(E27,0),"")</f>
        <v/>
      </c>
    </row>
    <row r="28" spans="1:14" s="1180" customFormat="1" ht="3.9" customHeight="1">
      <c r="A28" s="1186"/>
      <c r="B28" s="1186"/>
      <c r="C28" s="1183"/>
      <c r="D28" s="1183"/>
      <c r="E28" s="1193"/>
      <c r="F28" s="1220"/>
    </row>
    <row r="29" spans="1:14" s="1286" customFormat="1" ht="30" customHeight="1">
      <c r="A29" s="1186" t="s">
        <v>1103</v>
      </c>
      <c r="B29" s="1187" t="s">
        <v>921</v>
      </c>
      <c r="C29" s="1179" t="s">
        <v>1104</v>
      </c>
      <c r="E29" s="1221"/>
      <c r="F29" s="1287" t="str">
        <f>IF(ISBLANK(E29),"",IF(ISNUMBER(E29),IF(E29-INT(E29)=0,"","  Errore ! Inserire un numero intero senza decimali"),"  Errore ! Inserire un numero intero senza decimali"))</f>
        <v/>
      </c>
      <c r="K29" s="1191" t="str">
        <f>LEFT(A29,3)</f>
        <v>LEG</v>
      </c>
      <c r="L29" s="1191" t="str">
        <f>RIGHT(A29,3)</f>
        <v>356</v>
      </c>
      <c r="M29" s="1191" t="str">
        <f>B29</f>
        <v>INT</v>
      </c>
      <c r="N29" s="1191" t="str">
        <f>IF(ISNUMBER(E29),ROUND(E29,0),"")</f>
        <v/>
      </c>
    </row>
    <row r="30" spans="1:14" s="1286" customFormat="1" ht="3.9" customHeight="1">
      <c r="A30" s="1186"/>
      <c r="B30" s="1187"/>
      <c r="C30" s="1179"/>
      <c r="D30" s="1290"/>
      <c r="E30" s="1174"/>
      <c r="F30" s="1291"/>
      <c r="H30" s="1181"/>
      <c r="I30" s="1292"/>
    </row>
    <row r="31" spans="1:14" s="1286" customFormat="1" ht="30" customHeight="1">
      <c r="A31" s="1186" t="s">
        <v>1105</v>
      </c>
      <c r="B31" s="1187" t="s">
        <v>921</v>
      </c>
      <c r="C31" s="1179" t="s">
        <v>1106</v>
      </c>
      <c r="E31" s="1221"/>
      <c r="F31" s="1287" t="str">
        <f>IF(ISBLANK(E31),"",IF(ISNUMBER(E31),IF(E31-INT(E31)=0,"","  Errore ! Inserire un numero intero senza decimali"),"  Errore ! Inserire un numero intero senza decimali"))</f>
        <v/>
      </c>
      <c r="K31" s="1191" t="str">
        <f>LEFT(A31,3)</f>
        <v>LEG</v>
      </c>
      <c r="L31" s="1191" t="str">
        <f>RIGHT(A31,3)</f>
        <v>357</v>
      </c>
      <c r="M31" s="1191" t="str">
        <f>B31</f>
        <v>INT</v>
      </c>
      <c r="N31" s="1191" t="str">
        <f>IF(ISNUMBER(E31),ROUND(E31,0),"")</f>
        <v/>
      </c>
    </row>
    <row r="32" spans="1:14" s="1286" customFormat="1" ht="3.9" customHeight="1">
      <c r="A32" s="1288"/>
      <c r="B32" s="1289"/>
      <c r="C32" s="1290"/>
      <c r="D32" s="1290"/>
      <c r="E32" s="1174"/>
      <c r="F32" s="1291"/>
      <c r="H32" s="1181"/>
      <c r="I32" s="1292"/>
    </row>
    <row r="33" spans="1:14" s="1180" customFormat="1" ht="30" customHeight="1">
      <c r="A33" s="1186" t="s">
        <v>928</v>
      </c>
      <c r="B33" s="1187" t="s">
        <v>921</v>
      </c>
      <c r="C33" s="1202" t="s">
        <v>929</v>
      </c>
      <c r="E33" s="1196"/>
      <c r="F33" s="1219" t="str">
        <f>IF(ISBLANK(E33),"",IF(ISNUMBER(E33),IF(E33-INT(E33)=0,"","  Errore ! Inserire un numero intero senza decimali"),"  Errore ! Inserire un numero intero senza decimali"))</f>
        <v/>
      </c>
      <c r="K33" s="1190" t="str">
        <f>LEFT(A33,3)</f>
        <v>LEG</v>
      </c>
      <c r="L33" s="1190" t="str">
        <f>RIGHT(A33,3)</f>
        <v>263</v>
      </c>
      <c r="M33" s="1190" t="str">
        <f>B33</f>
        <v>INT</v>
      </c>
      <c r="N33" s="1191" t="str">
        <f>IF(ISNUMBER(E33),ROUND(E33,0),"")</f>
        <v/>
      </c>
    </row>
    <row r="34" spans="1:14" s="1180" customFormat="1" ht="3.9" customHeight="1">
      <c r="A34" s="1186"/>
      <c r="B34" s="1186"/>
      <c r="C34" s="1199"/>
      <c r="D34" s="1183"/>
      <c r="E34" s="1193"/>
      <c r="F34" s="1220"/>
    </row>
    <row r="35" spans="1:14" s="1180" customFormat="1" ht="30" customHeight="1">
      <c r="A35" s="1186" t="s">
        <v>930</v>
      </c>
      <c r="B35" s="1187" t="s">
        <v>921</v>
      </c>
      <c r="C35" s="1202" t="s">
        <v>931</v>
      </c>
      <c r="E35" s="1196"/>
      <c r="F35" s="1219" t="str">
        <f>IF(ISBLANK(E35),"",IF(ISNUMBER(E35),IF(E35-INT(E35)=0,"","  Errore ! Inserire un numero intero senza decimali"),"  Errore ! Inserire un numero intero senza decimali"))</f>
        <v/>
      </c>
      <c r="K35" s="1190" t="str">
        <f>LEFT(A35,3)</f>
        <v>LEG</v>
      </c>
      <c r="L35" s="1190" t="str">
        <f>RIGHT(A35,3)</f>
        <v>264</v>
      </c>
      <c r="M35" s="1190" t="str">
        <f>B35</f>
        <v>INT</v>
      </c>
      <c r="N35" s="1191" t="str">
        <f>IF(ISNUMBER(E35),ROUND(E35,0),"")</f>
        <v/>
      </c>
    </row>
    <row r="36" spans="1:14" s="1180" customFormat="1" ht="3.9" customHeight="1">
      <c r="A36" s="1197"/>
      <c r="B36" s="1197"/>
      <c r="C36" s="1199"/>
      <c r="D36" s="1183"/>
      <c r="E36" s="1193"/>
      <c r="F36" s="1220"/>
    </row>
    <row r="37" spans="1:14" s="1180" customFormat="1" ht="30" customHeight="1">
      <c r="A37" s="1186" t="s">
        <v>932</v>
      </c>
      <c r="B37" s="1187" t="s">
        <v>921</v>
      </c>
      <c r="C37" s="1202" t="s">
        <v>1042</v>
      </c>
      <c r="E37" s="1196"/>
      <c r="F37" s="1219" t="str">
        <f>IF(ISBLANK(E37),"",IF(ISNUMBER(E37),IF(E37-INT(E37)=0,"","  Errore ! Inserire un numero intero senza decimali"),"  Errore ! Inserire un numero intero senza decimali"))</f>
        <v/>
      </c>
      <c r="K37" s="1190" t="str">
        <f>LEFT(A37,3)</f>
        <v>LEG</v>
      </c>
      <c r="L37" s="1190" t="str">
        <f>RIGHT(A37,3)</f>
        <v>265</v>
      </c>
      <c r="M37" s="1190" t="str">
        <f>B37</f>
        <v>INT</v>
      </c>
      <c r="N37" s="1191" t="str">
        <f>IF(ISNUMBER(E37),ROUND(E37,0),"")</f>
        <v/>
      </c>
    </row>
    <row r="38" spans="1:14" s="1180" customFormat="1" ht="3.9" customHeight="1">
      <c r="A38" s="1197"/>
      <c r="B38" s="1197"/>
      <c r="C38" s="1183"/>
      <c r="D38" s="1183"/>
      <c r="E38" s="1185"/>
      <c r="F38" s="1220"/>
    </row>
    <row r="39" spans="1:14" s="1180" customFormat="1" ht="30" customHeight="1">
      <c r="A39" s="1029" t="s">
        <v>933</v>
      </c>
      <c r="B39" s="1029"/>
      <c r="C39" s="1031" t="s">
        <v>934</v>
      </c>
      <c r="D39" s="1029"/>
      <c r="E39" s="1032"/>
      <c r="F39" s="1220"/>
    </row>
    <row r="40" spans="1:14" s="1180" customFormat="1" ht="3.9" customHeight="1">
      <c r="A40" s="1183"/>
      <c r="B40" s="1183"/>
      <c r="C40" s="1183"/>
      <c r="D40" s="1183"/>
      <c r="E40" s="1185"/>
      <c r="F40" s="1220"/>
    </row>
    <row r="41" spans="1:14" s="1180" customFormat="1" ht="30" customHeight="1">
      <c r="A41" s="1222" t="s">
        <v>985</v>
      </c>
      <c r="B41" s="1187" t="s">
        <v>921</v>
      </c>
      <c r="C41" s="1179" t="s">
        <v>1038</v>
      </c>
      <c r="E41" s="1196"/>
      <c r="F41" s="1219" t="str">
        <f>IF(ISBLANK(E41),"",IF(ISNUMBER(E41),IF(E41-INT(E41)=0,"","  Errore ! Inserire un numero intero senza decimali"),"  Errore ! Inserire un numero intero senza decimali"))</f>
        <v/>
      </c>
      <c r="K41" s="1190" t="str">
        <f>LEFT(A41,3)</f>
        <v>ORG</v>
      </c>
      <c r="L41" s="1190" t="str">
        <f>RIGHT(A41,3)</f>
        <v>112</v>
      </c>
      <c r="M41" s="1190" t="str">
        <f>B41</f>
        <v>INT</v>
      </c>
      <c r="N41" s="1191" t="str">
        <f>IF(ISNUMBER(E41),ROUND(E41,0),"")</f>
        <v/>
      </c>
    </row>
    <row r="42" spans="1:14" s="1180" customFormat="1" ht="3.9" customHeight="1">
      <c r="A42" s="1186"/>
      <c r="B42" s="1186"/>
      <c r="C42" s="1183"/>
      <c r="D42" s="1183"/>
      <c r="E42" s="1193"/>
      <c r="F42" s="1220"/>
    </row>
    <row r="43" spans="1:14" s="1180" customFormat="1" ht="30" customHeight="1">
      <c r="A43" s="1186" t="s">
        <v>986</v>
      </c>
      <c r="B43" s="1187" t="s">
        <v>921</v>
      </c>
      <c r="C43" s="1179" t="s">
        <v>987</v>
      </c>
      <c r="E43" s="1196"/>
      <c r="F43" s="1219" t="str">
        <f>IF(ISBLANK(E43),"",IF(ISNUMBER(E43),IF(E43-INT(E43)=0,"","  Errore ! Inserire un numero intero senza decimali"),"  Errore ! Inserire un numero intero senza decimali"))</f>
        <v/>
      </c>
      <c r="K43" s="1190" t="str">
        <f>LEFT(A43,3)</f>
        <v>ORG</v>
      </c>
      <c r="L43" s="1190" t="str">
        <f>RIGHT(A43,3)</f>
        <v>145</v>
      </c>
      <c r="M43" s="1190" t="str">
        <f>B43</f>
        <v>INT</v>
      </c>
      <c r="N43" s="1191" t="str">
        <f>IF(ISNUMBER(E43),ROUND(E43,0),"")</f>
        <v/>
      </c>
    </row>
    <row r="44" spans="1:14" s="1180" customFormat="1" ht="3.9" customHeight="1">
      <c r="A44" s="1197"/>
      <c r="B44" s="1197"/>
      <c r="C44" s="1183"/>
      <c r="D44" s="1183"/>
      <c r="E44" s="1193"/>
      <c r="F44" s="1220"/>
    </row>
    <row r="45" spans="1:14" s="1180" customFormat="1" ht="30" customHeight="1">
      <c r="A45" s="1186" t="s">
        <v>988</v>
      </c>
      <c r="B45" s="1187" t="s">
        <v>921</v>
      </c>
      <c r="C45" s="1179" t="s">
        <v>989</v>
      </c>
      <c r="E45" s="1196"/>
      <c r="F45" s="1219" t="str">
        <f>IF(ISBLANK(E45),"",IF(ISNUMBER(E45),IF(E45-INT(E45)=0,"","  Errore ! Inserire un numero intero senza decimali"),"  Errore ! Inserire un numero intero senza decimali"))</f>
        <v/>
      </c>
      <c r="K45" s="1190" t="str">
        <f>LEFT(A45,3)</f>
        <v>ORG</v>
      </c>
      <c r="L45" s="1190" t="str">
        <f>RIGHT(A45,3)</f>
        <v>160</v>
      </c>
      <c r="M45" s="1190" t="str">
        <f>B45</f>
        <v>INT</v>
      </c>
      <c r="N45" s="1191" t="str">
        <f>IF(ISNUMBER(E45),ROUND(E45,0),"")</f>
        <v/>
      </c>
    </row>
    <row r="46" spans="1:14" s="1180" customFormat="1" ht="3.9" customHeight="1">
      <c r="A46" s="1186"/>
      <c r="B46" s="1186"/>
      <c r="C46" s="1183"/>
      <c r="D46" s="1183"/>
      <c r="E46" s="1193"/>
      <c r="F46" s="1220"/>
    </row>
    <row r="47" spans="1:14" s="1180" customFormat="1" ht="30" customHeight="1">
      <c r="A47" s="1222" t="s">
        <v>990</v>
      </c>
      <c r="B47" s="1187" t="s">
        <v>921</v>
      </c>
      <c r="C47" s="1179" t="s">
        <v>991</v>
      </c>
      <c r="E47" s="1196"/>
      <c r="F47" s="1219" t="str">
        <f>IF(ISBLANK(E47),"",IF(ISNUMBER(E47),IF(E47-INT(E47)=0,"","  Errore ! Inserire un numero intero senza decimali"),"  Errore ! Inserire un numero intero senza decimali"))</f>
        <v/>
      </c>
      <c r="K47" s="1190" t="str">
        <f>LEFT(A47,3)</f>
        <v>ORG</v>
      </c>
      <c r="L47" s="1190" t="str">
        <f>RIGHT(A47,3)</f>
        <v>154</v>
      </c>
      <c r="M47" s="1190" t="str">
        <f>B47</f>
        <v>INT</v>
      </c>
      <c r="N47" s="1191" t="str">
        <f>IF(ISNUMBER(E47),ROUND(E47,0),"")</f>
        <v/>
      </c>
    </row>
    <row r="48" spans="1:14" s="1180" customFormat="1" ht="3.9" customHeight="1">
      <c r="A48" s="1186"/>
      <c r="B48" s="1186"/>
      <c r="C48" s="1183"/>
      <c r="D48" s="1183"/>
      <c r="E48" s="1193"/>
      <c r="F48" s="1220"/>
    </row>
    <row r="49" spans="1:14" s="1180" customFormat="1" ht="30" customHeight="1">
      <c r="A49" s="1186" t="s">
        <v>948</v>
      </c>
      <c r="B49" s="1187" t="s">
        <v>921</v>
      </c>
      <c r="C49" s="1179" t="s">
        <v>949</v>
      </c>
      <c r="E49" s="1196"/>
      <c r="F49" s="1219" t="str">
        <f>IF(ISBLANK(E49),"",IF(ISNUMBER(E49),IF(E49-INT(E49)=0,"","  Errore ! Inserire un numero intero senza decimali"),"  Errore ! Inserire un numero intero senza decimali"))</f>
        <v/>
      </c>
      <c r="K49" s="1190" t="str">
        <f>LEFT(A49,3)</f>
        <v>ORG</v>
      </c>
      <c r="L49" s="1190" t="str">
        <f>RIGHT(A49,3)</f>
        <v>136</v>
      </c>
      <c r="M49" s="1190" t="str">
        <f>B49</f>
        <v>INT</v>
      </c>
      <c r="N49" s="1191" t="str">
        <f>IF(ISNUMBER(E49),ROUND(E49,0),"")</f>
        <v/>
      </c>
    </row>
    <row r="50" spans="1:14" s="1180" customFormat="1" ht="3.9" customHeight="1">
      <c r="A50" s="1186"/>
      <c r="B50" s="1186"/>
      <c r="C50" s="1183"/>
      <c r="D50" s="1183"/>
      <c r="E50" s="1193"/>
      <c r="F50" s="1220"/>
    </row>
    <row r="51" spans="1:14" s="1180" customFormat="1" ht="30" customHeight="1">
      <c r="A51" s="1186" t="s">
        <v>950</v>
      </c>
      <c r="B51" s="1187" t="s">
        <v>921</v>
      </c>
      <c r="C51" s="1179" t="s">
        <v>951</v>
      </c>
      <c r="E51" s="1196"/>
      <c r="F51" s="1219" t="str">
        <f>IF(ISBLANK(E51),"",IF(ISNUMBER(E51),IF(E51-INT(E51)=0,"","  Errore ! Inserire un numero intero senza decimali"),"  Errore ! Inserire un numero intero senza decimali"))</f>
        <v/>
      </c>
      <c r="K51" s="1190" t="str">
        <f>LEFT(A51,3)</f>
        <v>ORG</v>
      </c>
      <c r="L51" s="1190" t="str">
        <f>RIGHT(A51,3)</f>
        <v>179</v>
      </c>
      <c r="M51" s="1190" t="str">
        <f>B51</f>
        <v>INT</v>
      </c>
      <c r="N51" s="1191" t="str">
        <f>IF(ISNUMBER(E51),ROUND(E51,0),"")</f>
        <v/>
      </c>
    </row>
    <row r="52" spans="1:14" s="1180" customFormat="1" ht="3.9" customHeight="1">
      <c r="A52" s="1186"/>
      <c r="B52" s="1186"/>
      <c r="C52" s="1183"/>
      <c r="D52" s="1183"/>
      <c r="E52" s="1193"/>
      <c r="F52" s="1220"/>
    </row>
    <row r="53" spans="1:14" s="1180" customFormat="1" ht="30" customHeight="1">
      <c r="A53" s="1186" t="s">
        <v>952</v>
      </c>
      <c r="B53" s="1187" t="s">
        <v>921</v>
      </c>
      <c r="C53" s="1179" t="s">
        <v>953</v>
      </c>
      <c r="E53" s="1196"/>
      <c r="F53" s="1219" t="str">
        <f>IF(ISBLANK(E53),"",IF(ISNUMBER(E53),IF(E53-INT(E53)=0,"","  Errore ! Inserire un numero intero senza decimali"),"  Errore ! Inserire un numero intero senza decimali"))</f>
        <v/>
      </c>
      <c r="K53" s="1190" t="str">
        <f>LEFT(A53,3)</f>
        <v>ORG</v>
      </c>
      <c r="L53" s="1190" t="str">
        <f>RIGHT(A53,3)</f>
        <v>161</v>
      </c>
      <c r="M53" s="1190" t="str">
        <f>B53</f>
        <v>INT</v>
      </c>
      <c r="N53" s="1191" t="str">
        <f>IF(ISNUMBER(E53),ROUND(E53,0),"")</f>
        <v/>
      </c>
    </row>
    <row r="54" spans="1:14" s="1180" customFormat="1" ht="3.9" customHeight="1">
      <c r="A54" s="1186"/>
      <c r="B54" s="1186"/>
      <c r="C54" s="1183"/>
      <c r="D54" s="1183"/>
      <c r="E54" s="1193"/>
      <c r="F54" s="1220"/>
    </row>
    <row r="55" spans="1:14" s="1180" customFormat="1" ht="30" customHeight="1">
      <c r="A55" s="1186" t="s">
        <v>992</v>
      </c>
      <c r="B55" s="1187" t="s">
        <v>921</v>
      </c>
      <c r="C55" s="1179" t="s">
        <v>993</v>
      </c>
      <c r="E55" s="1196"/>
      <c r="F55" s="1219" t="str">
        <f>IF(ISBLANK(E55),"",IF(ISNUMBER(E55),IF(E55-INT(E55)=0,"","  Errore ! Inserire un numero intero senza decimali"),"  Errore ! Inserire un numero intero senza decimali"))</f>
        <v/>
      </c>
      <c r="K55" s="1190" t="str">
        <f>LEFT(A55,3)</f>
        <v>ORG</v>
      </c>
      <c r="L55" s="1190" t="str">
        <f>RIGHT(A55,3)</f>
        <v>169</v>
      </c>
      <c r="M55" s="1190" t="str">
        <f>B55</f>
        <v>INT</v>
      </c>
      <c r="N55" s="1191" t="str">
        <f>IF(ISNUMBER(E55),ROUND(E55,0),"")</f>
        <v/>
      </c>
    </row>
    <row r="56" spans="1:14" s="1180" customFormat="1" ht="3.9" customHeight="1">
      <c r="A56" s="1186"/>
      <c r="B56" s="1186"/>
      <c r="C56" s="1183"/>
      <c r="D56" s="1183"/>
      <c r="E56" s="1193"/>
      <c r="F56" s="1220"/>
    </row>
    <row r="57" spans="1:14" s="1180" customFormat="1" ht="30" customHeight="1">
      <c r="A57" s="1029" t="s">
        <v>994</v>
      </c>
      <c r="B57" s="1029"/>
      <c r="C57" s="1031" t="s">
        <v>995</v>
      </c>
      <c r="D57" s="1029"/>
      <c r="E57" s="1032"/>
      <c r="F57" s="1219"/>
    </row>
    <row r="58" spans="1:14" s="1180" customFormat="1" ht="3.9" customHeight="1">
      <c r="A58" s="1183"/>
      <c r="B58" s="1183"/>
      <c r="C58" s="1183"/>
      <c r="D58" s="1183"/>
      <c r="E58" s="1185"/>
      <c r="F58" s="1220"/>
    </row>
    <row r="59" spans="1:14" s="1180" customFormat="1" ht="30" customHeight="1">
      <c r="A59" s="1186" t="s">
        <v>996</v>
      </c>
      <c r="B59" s="1187" t="s">
        <v>917</v>
      </c>
      <c r="C59" s="1179" t="s">
        <v>997</v>
      </c>
      <c r="E59" s="1188"/>
      <c r="F59" s="1219" t="str">
        <f>IF(AND(LEN(E59)=1,OR(UPPER(E59)="N",UPPER(E59)="S")),"",IF(ISBLANK(E59),"","  Errore ! Inserire S o N"))</f>
        <v/>
      </c>
      <c r="K59" s="1190" t="str">
        <f>LEFT(A59,3)</f>
        <v>PEO</v>
      </c>
      <c r="L59" s="1190" t="str">
        <f>RIGHT(A59,3)</f>
        <v>168</v>
      </c>
      <c r="M59" s="1190" t="str">
        <f>B59</f>
        <v>FLAG</v>
      </c>
      <c r="N59" s="1191" t="str">
        <f>IF(AND(LEN(E59)=1,OR(UPPER(E59)="N",UPPER(E59)="S")),UPPER(E59),"")</f>
        <v/>
      </c>
    </row>
    <row r="60" spans="1:14" s="1180" customFormat="1" ht="3.9" customHeight="1">
      <c r="A60" s="1186"/>
      <c r="B60" s="1186"/>
      <c r="C60" s="1183"/>
      <c r="D60" s="1183"/>
      <c r="E60" s="1193"/>
      <c r="F60" s="1220"/>
    </row>
    <row r="61" spans="1:14" s="1180" customFormat="1" ht="30" customHeight="1">
      <c r="A61" s="1186" t="s">
        <v>998</v>
      </c>
      <c r="B61" s="1187" t="s">
        <v>921</v>
      </c>
      <c r="C61" s="1179" t="s">
        <v>999</v>
      </c>
      <c r="E61" s="1196"/>
      <c r="F61" s="1219" t="str">
        <f>IF(ISBLANK(E61),"",IF(ISNUMBER(E61),IF(E61-INT(E61)=0,"","  Errore ! Inserire un numero intero senza decimali"),"  Errore ! Inserire un numero intero senza decimali"))</f>
        <v/>
      </c>
      <c r="K61" s="1190" t="str">
        <f>LEFT(A61,3)</f>
        <v>PEO</v>
      </c>
      <c r="L61" s="1190" t="str">
        <f>RIGHT(A61,3)</f>
        <v>111</v>
      </c>
      <c r="M61" s="1190" t="str">
        <f>B61</f>
        <v>INT</v>
      </c>
      <c r="N61" s="1191" t="str">
        <f>IF(ISNUMBER(E61),ROUND(E61,0),"")</f>
        <v/>
      </c>
    </row>
    <row r="62" spans="1:14" s="1180" customFormat="1" ht="3.9" customHeight="1">
      <c r="A62" s="1186"/>
      <c r="B62" s="1186"/>
      <c r="C62" s="1183"/>
      <c r="D62" s="1183"/>
      <c r="E62" s="1193"/>
      <c r="F62" s="1220"/>
    </row>
    <row r="63" spans="1:14" s="1180" customFormat="1" ht="30" customHeight="1">
      <c r="A63" s="1186" t="s">
        <v>1000</v>
      </c>
      <c r="B63" s="1187" t="s">
        <v>921</v>
      </c>
      <c r="C63" s="1179" t="s">
        <v>1001</v>
      </c>
      <c r="E63" s="1196"/>
      <c r="F63" s="1219" t="str">
        <f>IF(ISBLANK(E63),"",IF(ISNUMBER(E63),IF(E63-INT(E63)=0,"","  Errore ! Inserire un numero intero senza decimali"),"  Errore ! Inserire un numero intero senza decimali"))</f>
        <v/>
      </c>
      <c r="K63" s="1190" t="str">
        <f>LEFT(A63,3)</f>
        <v>PEO</v>
      </c>
      <c r="L63" s="1190" t="str">
        <f>RIGHT(A63,3)</f>
        <v>188</v>
      </c>
      <c r="M63" s="1190" t="str">
        <f>B63</f>
        <v>INT</v>
      </c>
      <c r="N63" s="1191" t="str">
        <f>IF(ISNUMBER(E63),ROUND(E63,0),"")</f>
        <v/>
      </c>
    </row>
    <row r="64" spans="1:14" s="1180" customFormat="1" ht="3.9" customHeight="1">
      <c r="A64" s="1186"/>
      <c r="B64" s="1186"/>
      <c r="C64" s="1183"/>
      <c r="D64" s="1183"/>
      <c r="E64" s="1193"/>
      <c r="F64" s="1220"/>
    </row>
    <row r="65" spans="1:14" s="1180" customFormat="1" ht="30" customHeight="1">
      <c r="A65" s="1186" t="s">
        <v>1002</v>
      </c>
      <c r="B65" s="1187" t="s">
        <v>917</v>
      </c>
      <c r="C65" s="1179" t="s">
        <v>1107</v>
      </c>
      <c r="E65" s="1188"/>
      <c r="F65" s="1219" t="str">
        <f>IF(AND(LEN(E65)=1,OR(UPPER(E65)="N",UPPER(E65)="S")),"",IF(ISBLANK(E65),"","  Errore ! Inserire S o N"))</f>
        <v/>
      </c>
      <c r="K65" s="1190" t="str">
        <f>LEFT(A65,3)</f>
        <v>PEO</v>
      </c>
      <c r="L65" s="1190" t="str">
        <f>RIGHT(A65,3)</f>
        <v>119</v>
      </c>
      <c r="M65" s="1190" t="str">
        <f>B65</f>
        <v>FLAG</v>
      </c>
      <c r="N65" s="1191" t="str">
        <f>IF(AND(LEN(E65)=1,OR(UPPER(E65)="N",UPPER(E65)="S")),UPPER(E65),"")</f>
        <v/>
      </c>
    </row>
    <row r="66" spans="1:14" s="1180" customFormat="1" ht="3.9" customHeight="1">
      <c r="A66" s="1186"/>
      <c r="B66" s="1186"/>
      <c r="C66" s="1183"/>
      <c r="D66" s="1183"/>
      <c r="E66" s="1193"/>
      <c r="F66" s="1220"/>
    </row>
    <row r="67" spans="1:14" s="1180" customFormat="1" ht="30" customHeight="1">
      <c r="A67" s="1186" t="s">
        <v>1003</v>
      </c>
      <c r="B67" s="1187" t="s">
        <v>917</v>
      </c>
      <c r="C67" s="1179" t="s">
        <v>1039</v>
      </c>
      <c r="E67" s="1188"/>
      <c r="F67" s="1219" t="str">
        <f>IF(AND(LEN(E67)=1,OR(UPPER(E67)="N",UPPER(E67)="S")),"",IF(ISBLANK(E67),"","  Errore ! Inserire S o N"))</f>
        <v/>
      </c>
      <c r="K67" s="1190" t="str">
        <f>LEFT(A67,3)</f>
        <v>PEO</v>
      </c>
      <c r="L67" s="1190" t="str">
        <f>RIGHT(A67,3)</f>
        <v>266</v>
      </c>
      <c r="M67" s="1190" t="str">
        <f>B67</f>
        <v>FLAG</v>
      </c>
      <c r="N67" s="1191" t="str">
        <f>IF(AND(LEN(E67)=1,OR(UPPER(E67)="N",UPPER(E67)="S")),UPPER(E67),"")</f>
        <v/>
      </c>
    </row>
    <row r="68" spans="1:14" s="1180" customFormat="1" ht="3.9" customHeight="1">
      <c r="A68" s="1186"/>
      <c r="B68" s="1186"/>
      <c r="C68" s="1183"/>
      <c r="D68" s="1183"/>
      <c r="E68" s="1193"/>
      <c r="F68" s="1220"/>
    </row>
    <row r="69" spans="1:14" s="1180" customFormat="1" ht="30" customHeight="1">
      <c r="A69" s="1186" t="s">
        <v>1004</v>
      </c>
      <c r="B69" s="1187" t="s">
        <v>921</v>
      </c>
      <c r="C69" s="1179" t="s">
        <v>1005</v>
      </c>
      <c r="E69" s="1196"/>
      <c r="F69" s="1219" t="str">
        <f>IF(ISBLANK(E69),"",IF(ISNUMBER(E69),IF(E69-INT(E69)=0,"","  Errore ! Inserire un numero intero senza decimali"),"  Errore ! Inserire un numero intero senza decimali"))</f>
        <v/>
      </c>
      <c r="K69" s="1190" t="str">
        <f>LEFT(A69,3)</f>
        <v>PEO</v>
      </c>
      <c r="L69" s="1190" t="str">
        <f>RIGHT(A69,3)</f>
        <v>133</v>
      </c>
      <c r="M69" s="1190" t="str">
        <f>B69</f>
        <v>INT</v>
      </c>
      <c r="N69" s="1191" t="str">
        <f>IF(ISNUMBER(E69),ROUND(E69,0),"")</f>
        <v/>
      </c>
    </row>
    <row r="70" spans="1:14" s="1180" customFormat="1" ht="3.9" customHeight="1">
      <c r="A70" s="1197"/>
      <c r="B70" s="1197"/>
      <c r="C70" s="1183"/>
      <c r="D70" s="1183"/>
      <c r="E70" s="1185"/>
      <c r="F70" s="1220"/>
    </row>
    <row r="71" spans="1:14" s="1180" customFormat="1" ht="30" customHeight="1">
      <c r="A71" s="1029" t="s">
        <v>956</v>
      </c>
      <c r="B71" s="1029"/>
      <c r="C71" s="1031" t="s">
        <v>957</v>
      </c>
      <c r="D71" s="1029"/>
      <c r="E71" s="1032"/>
      <c r="F71" s="1219"/>
    </row>
    <row r="72" spans="1:14" s="1180" customFormat="1" ht="3.9" customHeight="1">
      <c r="A72" s="1183"/>
      <c r="B72" s="1183"/>
      <c r="C72" s="1183"/>
      <c r="D72" s="1183"/>
      <c r="E72" s="1185"/>
      <c r="F72" s="1220"/>
    </row>
    <row r="73" spans="1:14" s="1180" customFormat="1" ht="30" customHeight="1">
      <c r="A73" s="1186" t="s">
        <v>1006</v>
      </c>
      <c r="B73" s="1187" t="s">
        <v>921</v>
      </c>
      <c r="C73" s="1179" t="s">
        <v>858</v>
      </c>
      <c r="E73" s="1196"/>
      <c r="F73" s="1219" t="str">
        <f>IF(ISBLANK(E73),"",IF(ISNUMBER(E73),IF(E73-INT(E73)=0,"","  Errore ! Inserire un numero intero senza decimali"),"  Errore ! Inserire un numero intero senza decimali"))</f>
        <v/>
      </c>
      <c r="K73" s="1190" t="str">
        <f>LEFT(A73,3)</f>
        <v>PRD</v>
      </c>
      <c r="L73" s="1190" t="str">
        <f>RIGHT(A73,3)</f>
        <v>164</v>
      </c>
      <c r="M73" s="1190" t="str">
        <f>B73</f>
        <v>INT</v>
      </c>
      <c r="N73" s="1191" t="str">
        <f>IF(ISNUMBER(E73),ROUND(E73,0),"")</f>
        <v/>
      </c>
    </row>
    <row r="74" spans="1:14" s="1180" customFormat="1" ht="3.9" customHeight="1">
      <c r="A74" s="1186"/>
      <c r="B74" s="1186"/>
      <c r="C74" s="1183"/>
      <c r="D74" s="1183"/>
      <c r="E74" s="1193"/>
      <c r="F74" s="1220"/>
    </row>
    <row r="75" spans="1:14" s="1180" customFormat="1" ht="30" customHeight="1">
      <c r="A75" s="1186" t="s">
        <v>1007</v>
      </c>
      <c r="B75" s="1187" t="s">
        <v>921</v>
      </c>
      <c r="C75" s="1179" t="s">
        <v>859</v>
      </c>
      <c r="E75" s="1196"/>
      <c r="F75" s="1219" t="str">
        <f>IF(ISBLANK(E75),"",IF(ISNUMBER(E75),IF(E75-INT(E75)=0,"","  Errore ! Inserire un numero intero senza decimali"),"  Errore ! Inserire un numero intero senza decimali"))</f>
        <v/>
      </c>
      <c r="K75" s="1190" t="str">
        <f>LEFT(A75,3)</f>
        <v>PRD</v>
      </c>
      <c r="L75" s="1190" t="str">
        <f>RIGHT(A75,3)</f>
        <v>210</v>
      </c>
      <c r="M75" s="1190" t="str">
        <f>B75</f>
        <v>INT</v>
      </c>
      <c r="N75" s="1191" t="str">
        <f>IF(ISNUMBER(E75),ROUND(E75,0),"")</f>
        <v/>
      </c>
    </row>
    <row r="76" spans="1:14" s="1180" customFormat="1" ht="3.9" customHeight="1">
      <c r="A76" s="1186"/>
      <c r="B76" s="1186"/>
      <c r="C76" s="1183"/>
      <c r="D76" s="1183"/>
      <c r="E76" s="1193"/>
      <c r="F76" s="1220"/>
    </row>
    <row r="77" spans="1:14" s="1180" customFormat="1" ht="30" customHeight="1">
      <c r="A77" s="1186" t="s">
        <v>1008</v>
      </c>
      <c r="B77" s="1187" t="s">
        <v>921</v>
      </c>
      <c r="C77" s="1179" t="s">
        <v>1009</v>
      </c>
      <c r="E77" s="1196"/>
      <c r="F77" s="1219" t="str">
        <f>IF(ISBLANK(E77),"",IF(ISNUMBER(E77),IF(E77-INT(E77)=0,"","  Errore ! Inserire un numero intero senza decimali"),"  Errore ! Inserire un numero intero senza decimali"))</f>
        <v/>
      </c>
      <c r="K77" s="1190" t="str">
        <f>LEFT(A77,3)</f>
        <v>PRD</v>
      </c>
      <c r="L77" s="1190" t="str">
        <f>RIGHT(A77,3)</f>
        <v>162</v>
      </c>
      <c r="M77" s="1190" t="str">
        <f>B77</f>
        <v>INT</v>
      </c>
      <c r="N77" s="1191" t="str">
        <f>IF(ISNUMBER(E77),ROUND(E77,0),"")</f>
        <v/>
      </c>
    </row>
    <row r="78" spans="1:14" s="1180" customFormat="1" ht="3.9" customHeight="1">
      <c r="A78" s="1186"/>
      <c r="B78" s="1186"/>
      <c r="C78" s="1183"/>
      <c r="D78" s="1183"/>
      <c r="E78" s="1193"/>
      <c r="F78" s="1220"/>
    </row>
    <row r="79" spans="1:14" s="1180" customFormat="1" ht="30" customHeight="1">
      <c r="A79" s="1200" t="s">
        <v>1010</v>
      </c>
      <c r="B79" s="1187" t="s">
        <v>921</v>
      </c>
      <c r="C79" s="1205" t="s">
        <v>1040</v>
      </c>
      <c r="E79" s="1196"/>
      <c r="F79" s="1219" t="str">
        <f>IF(ISBLANK(E79),"",IF(ISNUMBER(E79),IF(E79-INT(E79)=0,"","  Errore ! Inserire un numero intero senza decimali"),"  Errore ! Inserire un numero intero senza decimali"))</f>
        <v/>
      </c>
      <c r="K79" s="1190" t="str">
        <f>LEFT(A79,3)</f>
        <v>PRD</v>
      </c>
      <c r="L79" s="1190" t="str">
        <f>RIGHT(A79,3)</f>
        <v>287</v>
      </c>
      <c r="M79" s="1190" t="str">
        <f>B79</f>
        <v>INT</v>
      </c>
      <c r="N79" s="1191" t="str">
        <f>IF(ISNUMBER(E79),ROUND(E79,0),"")</f>
        <v/>
      </c>
    </row>
    <row r="80" spans="1:14" s="1180" customFormat="1" ht="3.9" customHeight="1">
      <c r="A80" s="1200"/>
      <c r="B80" s="1186"/>
      <c r="C80" s="1183"/>
      <c r="D80" s="1183"/>
      <c r="E80" s="1193"/>
      <c r="F80" s="1220"/>
    </row>
    <row r="81" spans="1:14" s="1180" customFormat="1" ht="30" customHeight="1">
      <c r="A81" s="1200" t="s">
        <v>1011</v>
      </c>
      <c r="B81" s="1187" t="s">
        <v>921</v>
      </c>
      <c r="C81" s="1179" t="s">
        <v>1041</v>
      </c>
      <c r="E81" s="1196"/>
      <c r="F81" s="1219" t="str">
        <f>IF(ISBLANK(E81),"",IF(ISNUMBER(E81),IF(E81-INT(E81)=0,"","  Errore ! Inserire un numero intero senza decimali"),"  Errore ! Inserire un numero intero senza decimali"))</f>
        <v/>
      </c>
      <c r="K81" s="1190" t="str">
        <f>LEFT(A81,3)</f>
        <v>PRD</v>
      </c>
      <c r="L81" s="1190" t="str">
        <f>RIGHT(A81,3)</f>
        <v>134</v>
      </c>
      <c r="M81" s="1190" t="str">
        <f>B81</f>
        <v>INT</v>
      </c>
      <c r="N81" s="1191" t="str">
        <f>IF(ISNUMBER(E81),ROUND(E81,0),"")</f>
        <v/>
      </c>
    </row>
    <row r="82" spans="1:14" s="1180" customFormat="1" ht="3.9" customHeight="1">
      <c r="A82" s="1186"/>
      <c r="B82" s="1186"/>
      <c r="C82" s="1183"/>
      <c r="D82" s="1183"/>
      <c r="E82" s="1193"/>
      <c r="F82" s="1220"/>
    </row>
    <row r="83" spans="1:14" s="1180" customFormat="1" ht="30" customHeight="1">
      <c r="A83" s="1186" t="s">
        <v>1012</v>
      </c>
      <c r="B83" s="1187" t="s">
        <v>927</v>
      </c>
      <c r="C83" s="1179" t="s">
        <v>1013</v>
      </c>
      <c r="E83" s="1198"/>
      <c r="F83" s="1219"/>
      <c r="K83" s="1190" t="str">
        <f>LEFT(A83,3)</f>
        <v>PRD</v>
      </c>
      <c r="L83" s="1190" t="str">
        <f>RIGHT(A83,3)</f>
        <v>174</v>
      </c>
      <c r="M83" s="1190" t="str">
        <f>B83</f>
        <v>PERC</v>
      </c>
      <c r="N83" s="1191" t="str">
        <f>IF(ISNUMBER(E83),ROUND(E83,4)*100,"")</f>
        <v/>
      </c>
    </row>
    <row r="84" spans="1:14" s="1180" customFormat="1" ht="3.9" customHeight="1">
      <c r="A84" s="1204"/>
      <c r="B84" s="1204"/>
      <c r="C84" s="1183"/>
      <c r="D84" s="1183"/>
      <c r="E84" s="1185"/>
      <c r="F84" s="1220"/>
    </row>
    <row r="85" spans="1:14" s="1180" customFormat="1" ht="30" customHeight="1">
      <c r="A85" s="1029" t="s">
        <v>970</v>
      </c>
      <c r="B85" s="1029"/>
      <c r="C85" s="1031" t="s">
        <v>460</v>
      </c>
      <c r="D85" s="1029"/>
      <c r="E85" s="1032"/>
      <c r="F85" s="1220"/>
    </row>
    <row r="86" spans="1:14" s="1180" customFormat="1" ht="3.9" customHeight="1">
      <c r="A86" s="1183"/>
      <c r="B86" s="1183"/>
      <c r="C86" s="1183"/>
      <c r="D86" s="1183"/>
      <c r="E86" s="1185"/>
      <c r="F86" s="1220"/>
    </row>
    <row r="87" spans="1:14" s="1180" customFormat="1" ht="30" customHeight="1">
      <c r="A87" s="1186" t="s">
        <v>1014</v>
      </c>
      <c r="B87" s="1187" t="s">
        <v>917</v>
      </c>
      <c r="C87" s="1179" t="s">
        <v>1015</v>
      </c>
      <c r="E87" s="1188"/>
      <c r="F87" s="1219" t="str">
        <f>IF(AND(LEN(E87)=1,OR(UPPER(E87)="N",UPPER(E87)="S")),"",IF(ISBLANK(E87),"","  Errore ! Inserire S o N"))</f>
        <v/>
      </c>
      <c r="K87" s="1190" t="str">
        <f>LEFT(A87,3)</f>
        <v>CPL</v>
      </c>
      <c r="L87" s="1190" t="str">
        <f>RIGHT(A87,3)</f>
        <v>194</v>
      </c>
      <c r="M87" s="1190" t="str">
        <f>B87</f>
        <v>FLAG</v>
      </c>
      <c r="N87" s="1191" t="str">
        <f>IF(AND(LEN(E87)=1,OR(UPPER(E87)="N",UPPER(E87)="S")),UPPER(E87),"")</f>
        <v/>
      </c>
    </row>
    <row r="88" spans="1:14" s="1180" customFormat="1" ht="3.9" customHeight="1">
      <c r="A88" s="1204"/>
      <c r="B88" s="1204"/>
      <c r="C88" s="1183"/>
      <c r="D88" s="1183"/>
      <c r="E88" s="1193"/>
      <c r="F88" s="1220"/>
    </row>
    <row r="89" spans="1:14" s="1180" customFormat="1" ht="30" customHeight="1">
      <c r="A89" s="1186" t="s">
        <v>976</v>
      </c>
      <c r="B89" s="1187" t="s">
        <v>917</v>
      </c>
      <c r="C89" s="1179" t="s">
        <v>977</v>
      </c>
      <c r="E89" s="1188"/>
      <c r="F89" s="1189" t="str">
        <f>IF(OR(ISBLANK(E89),E89="Singola",E89="Associata"),"","  Errore ! Inserire Singola o Associata")</f>
        <v/>
      </c>
      <c r="K89" s="1190" t="str">
        <f>LEFT(A89,3)</f>
        <v>CPL</v>
      </c>
      <c r="L89" s="1190" t="str">
        <f>RIGHT(A89,3)</f>
        <v>147</v>
      </c>
      <c r="M89" s="1190" t="str">
        <f>B89</f>
        <v>FLAG</v>
      </c>
      <c r="N89" s="1191" t="str">
        <f>IF(E89="singola","S",IF(E89="associata","N",""))</f>
        <v/>
      </c>
    </row>
    <row r="90" spans="1:14" s="1180" customFormat="1" ht="3.9" customHeight="1">
      <c r="A90" s="1204"/>
      <c r="B90" s="1204"/>
      <c r="C90" s="1183"/>
      <c r="D90" s="1183"/>
      <c r="E90" s="1193"/>
      <c r="F90" s="1220"/>
    </row>
    <row r="91" spans="1:14" s="1180" customFormat="1" ht="30" customHeight="1">
      <c r="A91" s="1186" t="s">
        <v>1016</v>
      </c>
      <c r="B91" s="1187" t="s">
        <v>927</v>
      </c>
      <c r="C91" s="1179" t="s">
        <v>1017</v>
      </c>
      <c r="E91" s="1198"/>
      <c r="F91" s="1219"/>
      <c r="K91" s="1190" t="str">
        <f>LEFT(A91,3)</f>
        <v>CPL</v>
      </c>
      <c r="L91" s="1190" t="str">
        <f>RIGHT(A91,3)</f>
        <v>182</v>
      </c>
      <c r="M91" s="1190" t="str">
        <f>B91</f>
        <v>PERC</v>
      </c>
      <c r="N91" s="1191" t="str">
        <f>IF(ISNUMBER(E91),ROUND(E91,4)*100,"")</f>
        <v/>
      </c>
    </row>
    <row r="92" spans="1:14" s="1180" customFormat="1" ht="3.9" customHeight="1">
      <c r="A92" s="1204"/>
      <c r="B92" s="1204"/>
      <c r="C92" s="1183"/>
      <c r="D92" s="1183"/>
      <c r="E92" s="1185"/>
      <c r="F92" s="1175"/>
    </row>
    <row r="93" spans="1:14" s="1180" customFormat="1" ht="30" customHeight="1">
      <c r="A93" s="1029" t="s">
        <v>978</v>
      </c>
      <c r="B93" s="1029"/>
      <c r="C93" s="1031" t="s">
        <v>979</v>
      </c>
      <c r="D93" s="1029"/>
      <c r="E93" s="1032"/>
      <c r="F93" s="1175"/>
    </row>
    <row r="94" spans="1:14" s="1180" customFormat="1" ht="3.9" customHeight="1">
      <c r="A94" s="1204"/>
      <c r="B94" s="1204"/>
      <c r="C94" s="1183"/>
      <c r="D94" s="1183"/>
      <c r="E94" s="1185"/>
      <c r="F94" s="1175"/>
    </row>
    <row r="95" spans="1:14" s="1180" customFormat="1">
      <c r="A95" s="1186" t="s">
        <v>980</v>
      </c>
      <c r="B95" s="1186" t="s">
        <v>693</v>
      </c>
      <c r="C95" s="1183" t="s">
        <v>981</v>
      </c>
      <c r="E95" s="1185"/>
      <c r="F95" s="1175"/>
      <c r="K95" s="1190" t="str">
        <f>LEFT(A95,3)</f>
        <v>INF</v>
      </c>
      <c r="L95" s="1190" t="str">
        <f>RIGHT(A95,3)</f>
        <v>209</v>
      </c>
      <c r="M95" s="1190" t="str">
        <f>B95</f>
        <v>NOTE</v>
      </c>
      <c r="N95" s="1180" t="str">
        <f>IF(ISBLANK(C96),"",LEFT(C96,1500))</f>
        <v/>
      </c>
    </row>
    <row r="96" spans="1:14" s="1180" customFormat="1" ht="45" customHeight="1">
      <c r="A96" s="1206"/>
      <c r="B96" s="1206"/>
      <c r="C96" s="1511"/>
      <c r="D96" s="1512"/>
      <c r="E96" s="1513"/>
      <c r="F96" s="1227" t="str">
        <f>IF(LEN(C96)&gt;1500,"Attenzione, è stato superato il numero massimo di 1500 caratteri","")</f>
        <v/>
      </c>
    </row>
    <row r="97" spans="1:14" s="1180" customFormat="1">
      <c r="A97" s="1208"/>
      <c r="B97" s="1208"/>
      <c r="C97" s="1183"/>
      <c r="D97" s="1183"/>
      <c r="E97" s="1209"/>
      <c r="F97" s="1175"/>
    </row>
    <row r="98" spans="1:14" s="1180" customFormat="1">
      <c r="A98" s="1186" t="s">
        <v>982</v>
      </c>
      <c r="B98" s="1186" t="s">
        <v>693</v>
      </c>
      <c r="C98" s="1183" t="s">
        <v>983</v>
      </c>
      <c r="E98" s="1185"/>
      <c r="F98" s="1175"/>
      <c r="K98" s="1190" t="str">
        <f>LEFT(A98,3)</f>
        <v>INF</v>
      </c>
      <c r="L98" s="1190" t="str">
        <f>RIGHT(A98,3)</f>
        <v>127</v>
      </c>
      <c r="M98" s="1190" t="str">
        <f>B98</f>
        <v>NOTE</v>
      </c>
      <c r="N98" s="1180" t="str">
        <f>IF(ISBLANK(C99),"",LEFT(C99,1500))</f>
        <v/>
      </c>
    </row>
    <row r="99" spans="1:14" s="1180" customFormat="1" ht="45" customHeight="1">
      <c r="A99" s="1206"/>
      <c r="B99" s="1206"/>
      <c r="C99" s="1511"/>
      <c r="D99" s="1512"/>
      <c r="E99" s="1513"/>
      <c r="F99" s="1227" t="str">
        <f>IF(LEN(C99)&gt;1500,"Attenzione, è stato superato il numero massimo di 1500 caratteri","")</f>
        <v/>
      </c>
      <c r="K99" s="1212" t="s">
        <v>746</v>
      </c>
    </row>
  </sheetData>
  <sheetCalcPr fullCalcOnLoad="1"/>
  <sheetProtection password="EA98" sheet="1" selectLockedCells="1"/>
  <dataConsolidate/>
  <mergeCells count="5">
    <mergeCell ref="F2:F3"/>
    <mergeCell ref="F4:F5"/>
    <mergeCell ref="F6:F9"/>
    <mergeCell ref="C96:E96"/>
    <mergeCell ref="C99:E99"/>
  </mergeCells>
  <dataValidations count="8">
    <dataValidation type="date" allowBlank="1" showInputMessage="1" showErrorMessage="1" errorTitle="Errore di digitazione" error="Digitare una data non anteriore al 1 Gennaio dell'anno precedente alla di rilevazione (gg/mm/aaaa)" sqref="E21">
      <formula1>42370</formula1>
      <formula2>TODAY()</formula2>
    </dataValidation>
    <dataValidation type="list" showInputMessage="1" showErrorMessage="1" errorTitle="Errore di digitazione" error="Digitare 'Singola' o 'Associata' o lasciare in bianco" sqref="E89">
      <formula1>"Singola,Associata"</formula1>
    </dataValidation>
    <dataValidation type="list" allowBlank="1" showDropDown="1" showInputMessage="1" showErrorMessage="1" errorTitle="Errore di digitazione" error="Digitare 'S' o 'N' o lasciare in bianco" sqref="E15 E13 E59 E65 E67 E87">
      <formula1>"s,n,S,N"</formula1>
    </dataValidation>
    <dataValidation type="date" allowBlank="1" showInputMessage="1" showErrorMessage="1" errorTitle="Errore di digitazione" error="Digitare una data valida nel formato gg/mm/aaaa" sqref="E20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E23 E27 E33 E35 E37 E41 E43 E45 E47 E55 E49 E51 E53 E61 E63 E69 E73 E75 E77 E79 E81 E29 E31">
      <formula1>100000000000000</formula1>
    </dataValidation>
    <dataValidation type="custom" operator="lessThan" allowBlank="1" showInputMessage="1" showErrorMessage="1" errorTitle="Errore di digitazione" error="Inserire solo valori percentuali con al massimo due cifre decimali e chiudere con il simbolo %." sqref="E91 E83">
      <formula1>OR(E83=0,E83-INT(E83*10000)/10000=0)</formula1>
    </dataValidation>
    <dataValidation type="textLength" allowBlank="1" showInputMessage="1" showErrorMessage="1" errorTitle="Errore di digitazione" error="Inserire massimo 1500 caratteri" sqref="C96:E96 C99:E99">
      <formula1>0</formula1>
      <formula2>1500</formula2>
    </dataValidation>
    <dataValidation type="date" allowBlank="1" showInputMessage="1" showErrorMessage="1" errorTitle="Errore di digitazione" error="Digitare una data non anteriore al 1 Gennaio dell'anno precedente alla di rilevazione (gg/mm/aaaa)" sqref="E17 E19">
      <formula1>42370</formula1>
      <formula2>TODAY()</formula2>
    </dataValidation>
  </dataValidations>
  <pageMargins left="0.7" right="0.7" top="0.75" bottom="0.75" header="0.3" footer="0.3"/>
  <pageSetup paperSize="9" scale="54" orientation="portrait" r:id="rId1"/>
  <rowBreaks count="1" manualBreakCount="1">
    <brk id="56" max="4" man="1"/>
  </rowBreaks>
  <colBreaks count="1" manualBreakCount="1">
    <brk id="5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1"/>
  <dimension ref="A1:L44"/>
  <sheetViews>
    <sheetView zoomScaleNormal="100" workbookViewId="0">
      <pane ySplit="3" topLeftCell="A4" activePane="bottomLeft" state="frozen"/>
      <selection pane="bottomLeft" activeCell="C4" sqref="C4:C6"/>
    </sheetView>
  </sheetViews>
  <sheetFormatPr defaultRowHeight="10.199999999999999"/>
  <cols>
    <col min="1" max="1" width="87.85546875" style="365" customWidth="1"/>
    <col min="2" max="3" width="21.7109375" style="365" customWidth="1"/>
    <col min="4" max="4" width="60.85546875" style="365" customWidth="1"/>
    <col min="5" max="5" width="9.140625" style="365" hidden="1" customWidth="1"/>
    <col min="6" max="6" width="10" style="365" hidden="1" customWidth="1"/>
    <col min="7" max="7" width="22.7109375" style="365" customWidth="1"/>
    <col min="8" max="16384" width="9.140625" style="365"/>
  </cols>
  <sheetData>
    <row r="1" spans="1:12" s="364" customFormat="1" ht="43.5" customHeight="1">
      <c r="A1" s="1442" t="str">
        <f>'t1'!A1</f>
        <v>COMPARTO REGIONI ED AUTONOMIE LOCALI - anno 2017</v>
      </c>
      <c r="B1" s="1442"/>
      <c r="C1" s="1514"/>
      <c r="D1" s="1514"/>
      <c r="E1" s="363"/>
      <c r="F1" s="4"/>
      <c r="G1" s="363"/>
      <c r="H1" s="363"/>
      <c r="I1" s="363"/>
      <c r="J1" s="363"/>
      <c r="L1" s="365"/>
    </row>
    <row r="2" spans="1:12" ht="30" customHeight="1" thickBot="1">
      <c r="A2" s="1519" t="str">
        <f>IF(B31&gt;0,IF($F$32&gt;0," ","Attenzione: Compilare la presente Tabella"),IF(C31=0," "," "))</f>
        <v>Attenzione: Compilare la presente Tabella</v>
      </c>
      <c r="B2" s="1519"/>
      <c r="C2" s="1520"/>
      <c r="D2" s="1520"/>
    </row>
    <row r="3" spans="1:12" ht="21.75" customHeight="1" thickBot="1">
      <c r="A3" s="762" t="s">
        <v>729</v>
      </c>
      <c r="B3" s="763" t="s">
        <v>730</v>
      </c>
      <c r="C3" s="828" t="s">
        <v>776</v>
      </c>
      <c r="D3" s="764" t="s">
        <v>693</v>
      </c>
      <c r="G3" s="828" t="s">
        <v>849</v>
      </c>
    </row>
    <row r="4" spans="1:12" s="774" customFormat="1" ht="23.25" customHeight="1">
      <c r="A4" s="772" t="s">
        <v>737</v>
      </c>
      <c r="B4" s="821">
        <f>'t12'!J50</f>
        <v>65340</v>
      </c>
      <c r="C4" s="1515"/>
      <c r="D4" s="1517"/>
      <c r="E4" s="773" t="s">
        <v>742</v>
      </c>
      <c r="G4" s="1515"/>
    </row>
    <row r="5" spans="1:12" s="774" customFormat="1" ht="23.25" customHeight="1">
      <c r="A5" s="719" t="s">
        <v>738</v>
      </c>
      <c r="B5" s="822">
        <f>'t13'!W50</f>
        <v>14392</v>
      </c>
      <c r="C5" s="1516"/>
      <c r="D5" s="1518"/>
      <c r="E5" s="775" t="s">
        <v>746</v>
      </c>
      <c r="G5" s="1516"/>
    </row>
    <row r="6" spans="1:12" s="774" customFormat="1" ht="23.25" customHeight="1">
      <c r="A6" s="719" t="s">
        <v>731</v>
      </c>
      <c r="B6" s="822">
        <f>'t14'!D4</f>
        <v>461</v>
      </c>
      <c r="C6" s="1516"/>
      <c r="D6" s="1518"/>
      <c r="E6" s="775" t="s">
        <v>746</v>
      </c>
      <c r="G6" s="1516"/>
    </row>
    <row r="7" spans="1:12" s="774" customFormat="1" ht="23.25" customHeight="1">
      <c r="A7" s="719" t="s">
        <v>732</v>
      </c>
      <c r="B7" s="1239"/>
      <c r="C7" s="1239"/>
      <c r="D7" s="1240"/>
      <c r="E7" s="1241" t="s">
        <v>202</v>
      </c>
      <c r="F7" s="1242"/>
      <c r="G7" s="1257"/>
    </row>
    <row r="8" spans="1:12" s="774" customFormat="1" ht="23.25" customHeight="1">
      <c r="A8" s="719" t="s">
        <v>180</v>
      </c>
      <c r="B8" s="1234">
        <f>'t14'!D6</f>
        <v>0</v>
      </c>
      <c r="C8" s="824"/>
      <c r="D8" s="1253"/>
      <c r="E8" s="1254" t="s">
        <v>203</v>
      </c>
      <c r="F8" s="1256"/>
      <c r="G8" s="1258"/>
    </row>
    <row r="9" spans="1:12" s="774" customFormat="1" ht="23.25" customHeight="1">
      <c r="A9" s="776" t="s">
        <v>184</v>
      </c>
      <c r="B9" s="1243"/>
      <c r="C9" s="1243"/>
      <c r="D9" s="1235"/>
      <c r="E9" s="1236" t="s">
        <v>204</v>
      </c>
      <c r="F9" s="1237"/>
      <c r="G9" s="1265"/>
    </row>
    <row r="10" spans="1:12" s="774" customFormat="1" ht="23.25" customHeight="1">
      <c r="A10" s="719" t="s">
        <v>183</v>
      </c>
      <c r="B10" s="1243"/>
      <c r="C10" s="1243"/>
      <c r="D10" s="1235"/>
      <c r="E10" s="1236" t="s">
        <v>205</v>
      </c>
      <c r="F10" s="1237"/>
      <c r="G10" s="1266"/>
    </row>
    <row r="11" spans="1:12" s="774" customFormat="1" ht="23.25" customHeight="1">
      <c r="A11" s="719" t="s">
        <v>182</v>
      </c>
      <c r="B11" s="1243"/>
      <c r="C11" s="1243"/>
      <c r="D11" s="1235"/>
      <c r="E11" s="1236" t="s">
        <v>206</v>
      </c>
      <c r="F11" s="1237"/>
      <c r="G11" s="1266"/>
    </row>
    <row r="12" spans="1:12" s="774" customFormat="1" ht="23.25" customHeight="1">
      <c r="A12" s="719" t="s">
        <v>778</v>
      </c>
      <c r="B12" s="1243"/>
      <c r="C12" s="1243"/>
      <c r="D12" s="1235"/>
      <c r="E12" s="1236" t="s">
        <v>194</v>
      </c>
      <c r="F12" s="1237"/>
      <c r="G12" s="1267"/>
    </row>
    <row r="13" spans="1:12" s="774" customFormat="1" ht="23.25" customHeight="1">
      <c r="A13" s="719" t="s">
        <v>779</v>
      </c>
      <c r="B13" s="1234">
        <f>'t14'!D23</f>
        <v>0</v>
      </c>
      <c r="C13" s="824"/>
      <c r="D13" s="1253"/>
      <c r="E13" s="1238" t="s">
        <v>193</v>
      </c>
      <c r="F13" s="1237"/>
      <c r="G13" s="1258"/>
    </row>
    <row r="14" spans="1:12" s="774" customFormat="1" ht="23.25" customHeight="1">
      <c r="A14" s="719" t="s">
        <v>207</v>
      </c>
      <c r="B14" s="1244"/>
      <c r="C14" s="1244"/>
      <c r="D14" s="1245"/>
      <c r="E14" s="1246" t="s">
        <v>208</v>
      </c>
      <c r="F14" s="1247"/>
      <c r="G14" s="1257"/>
    </row>
    <row r="15" spans="1:12" s="774" customFormat="1" ht="23.25" customHeight="1">
      <c r="A15" s="719" t="s">
        <v>78</v>
      </c>
      <c r="B15" s="825">
        <f>'t14'!D12</f>
        <v>0</v>
      </c>
      <c r="C15" s="823"/>
      <c r="D15" s="935"/>
      <c r="E15" s="775" t="s">
        <v>210</v>
      </c>
      <c r="G15" s="1258"/>
    </row>
    <row r="16" spans="1:12" s="774" customFormat="1" ht="23.25" customHeight="1">
      <c r="A16" s="719" t="s">
        <v>558</v>
      </c>
      <c r="B16" s="822">
        <f>'t14'!D13</f>
        <v>0</v>
      </c>
      <c r="C16" s="1248"/>
      <c r="D16" s="1249"/>
      <c r="E16" s="775" t="s">
        <v>222</v>
      </c>
      <c r="G16" s="1261"/>
    </row>
    <row r="17" spans="1:7" s="774" customFormat="1" ht="23.25" customHeight="1">
      <c r="A17" s="719" t="s">
        <v>733</v>
      </c>
      <c r="B17" s="1239"/>
      <c r="C17" s="1239"/>
      <c r="D17" s="1240"/>
      <c r="E17" s="1250" t="s">
        <v>17</v>
      </c>
      <c r="F17" s="1242"/>
      <c r="G17" s="1265"/>
    </row>
    <row r="18" spans="1:7" s="777" customFormat="1" ht="23.25" customHeight="1">
      <c r="A18" s="719" t="s">
        <v>139</v>
      </c>
      <c r="B18" s="1244"/>
      <c r="C18" s="1244"/>
      <c r="D18" s="1245"/>
      <c r="E18" s="1251" t="s">
        <v>209</v>
      </c>
      <c r="F18" s="1252"/>
      <c r="G18" s="1267"/>
    </row>
    <row r="19" spans="1:7" s="364" customFormat="1" ht="23.25" customHeight="1">
      <c r="A19" s="719" t="s">
        <v>780</v>
      </c>
      <c r="B19" s="822">
        <f>'t14'!D16</f>
        <v>0</v>
      </c>
      <c r="C19" s="1259"/>
      <c r="D19" s="1260"/>
      <c r="E19" s="778" t="s">
        <v>191</v>
      </c>
      <c r="G19" s="1264"/>
    </row>
    <row r="20" spans="1:7" s="777" customFormat="1" ht="23.25" customHeight="1">
      <c r="A20" s="719" t="s">
        <v>560</v>
      </c>
      <c r="B20" s="1239"/>
      <c r="C20" s="1239"/>
      <c r="D20" s="1240"/>
      <c r="E20" s="1250" t="s">
        <v>192</v>
      </c>
      <c r="F20" s="1262"/>
      <c r="G20" s="1265"/>
    </row>
    <row r="21" spans="1:7" s="777" customFormat="1" ht="23.25" customHeight="1">
      <c r="A21" s="719" t="s">
        <v>181</v>
      </c>
      <c r="B21" s="1244"/>
      <c r="C21" s="1244"/>
      <c r="D21" s="1245"/>
      <c r="E21" s="1263" t="s">
        <v>201</v>
      </c>
      <c r="F21" s="1252"/>
      <c r="G21" s="1267"/>
    </row>
    <row r="22" spans="1:7" s="777" customFormat="1" ht="23.25" customHeight="1">
      <c r="A22" s="719" t="s">
        <v>812</v>
      </c>
      <c r="B22" s="822">
        <f>'t14'!D19</f>
        <v>0</v>
      </c>
      <c r="C22" s="823"/>
      <c r="D22" s="935"/>
      <c r="E22" s="775" t="s">
        <v>811</v>
      </c>
      <c r="G22" s="1255"/>
    </row>
    <row r="23" spans="1:7" s="777" customFormat="1" ht="23.25" customHeight="1">
      <c r="A23" s="719" t="s">
        <v>734</v>
      </c>
      <c r="B23" s="822">
        <f>'t14'!D20</f>
        <v>20898</v>
      </c>
      <c r="C23" s="823"/>
      <c r="D23" s="935"/>
      <c r="E23" s="775" t="s">
        <v>197</v>
      </c>
      <c r="G23" s="1258"/>
    </row>
    <row r="24" spans="1:7" s="777" customFormat="1" ht="23.25" customHeight="1">
      <c r="A24" s="719" t="s">
        <v>781</v>
      </c>
      <c r="B24" s="822">
        <f>'t14'!D21</f>
        <v>0</v>
      </c>
      <c r="C24" s="824"/>
      <c r="D24" s="936"/>
      <c r="E24" s="775" t="s">
        <v>198</v>
      </c>
      <c r="G24" s="1258"/>
    </row>
    <row r="25" spans="1:7" s="777" customFormat="1" ht="23.25" customHeight="1">
      <c r="A25" s="719" t="s">
        <v>735</v>
      </c>
      <c r="B25" s="822">
        <f>'t14'!D22</f>
        <v>6777</v>
      </c>
      <c r="C25" s="824"/>
      <c r="D25" s="936"/>
      <c r="E25" s="775" t="s">
        <v>199</v>
      </c>
      <c r="G25" s="824"/>
    </row>
    <row r="26" spans="1:7" s="777" customFormat="1" ht="23.25" customHeight="1">
      <c r="A26" s="779" t="s">
        <v>782</v>
      </c>
      <c r="B26" s="822">
        <f>'t14'!D24</f>
        <v>0</v>
      </c>
      <c r="C26" s="824"/>
      <c r="D26" s="936"/>
      <c r="E26" s="775" t="s">
        <v>195</v>
      </c>
      <c r="G26" s="824"/>
    </row>
    <row r="27" spans="1:7" s="777" customFormat="1" ht="23.25" customHeight="1" thickBot="1">
      <c r="A27" s="723" t="s">
        <v>736</v>
      </c>
      <c r="B27" s="826">
        <f>'t14'!D25+'t14'!D26</f>
        <v>0</v>
      </c>
      <c r="C27" s="827"/>
      <c r="D27" s="937"/>
      <c r="E27" s="775" t="s">
        <v>743</v>
      </c>
      <c r="G27" s="827"/>
    </row>
    <row r="28" spans="1:7" ht="15.9" customHeight="1" thickBot="1">
      <c r="A28" s="765" t="s">
        <v>739</v>
      </c>
      <c r="B28" s="766">
        <f>SUM(B4:B27)</f>
        <v>107868</v>
      </c>
      <c r="C28" s="766">
        <f>SUM(C4:C27)</f>
        <v>0</v>
      </c>
      <c r="D28" s="769"/>
      <c r="E28" s="775" t="s">
        <v>746</v>
      </c>
      <c r="G28" s="766">
        <f>SUM(G4:G27)</f>
        <v>0</v>
      </c>
    </row>
    <row r="29" spans="1:7" ht="15.9" customHeight="1">
      <c r="A29" s="767"/>
      <c r="B29" s="767"/>
      <c r="C29" s="767"/>
      <c r="D29" s="768"/>
      <c r="E29" s="775" t="s">
        <v>746</v>
      </c>
      <c r="G29" s="767"/>
    </row>
    <row r="30" spans="1:7" s="777" customFormat="1" ht="23.25" customHeight="1" thickBot="1">
      <c r="A30" s="761" t="s">
        <v>741</v>
      </c>
      <c r="B30" s="822">
        <f>'t14'!D27+'t14'!D28+'t14'!D29</f>
        <v>0</v>
      </c>
      <c r="C30" s="827"/>
      <c r="D30" s="937"/>
      <c r="E30" s="775" t="s">
        <v>745</v>
      </c>
      <c r="G30" s="827"/>
    </row>
    <row r="31" spans="1:7" ht="15.9" customHeight="1" thickBot="1">
      <c r="A31" s="765" t="s">
        <v>740</v>
      </c>
      <c r="B31" s="766">
        <f>B28-B30</f>
        <v>107868</v>
      </c>
      <c r="C31" s="766">
        <f>C28-C30</f>
        <v>0</v>
      </c>
      <c r="D31" s="770"/>
      <c r="E31" s="780"/>
      <c r="G31" s="766">
        <f>G28-G30</f>
        <v>0</v>
      </c>
    </row>
    <row r="32" spans="1:7">
      <c r="F32" s="806">
        <f>IF(AND(C28=0,C30=0,D4="",D7="",D8="",D9="",D10="",D11="",D12="",D13="",D14="",D15="",D16="",D17="",D18="",D19="",D20="",D21="",D23="",D24="",D25="",D26="",D27="",D30=""),0,1)</f>
        <v>0</v>
      </c>
    </row>
    <row r="33" spans="1:1">
      <c r="A33" s="365" t="s">
        <v>218</v>
      </c>
    </row>
    <row r="44" spans="1:1">
      <c r="A44" s="781"/>
    </row>
  </sheetData>
  <sheetProtection password="EA98" sheet="1" formatColumns="0" selectLockedCells="1"/>
  <mergeCells count="5">
    <mergeCell ref="A1:D1"/>
    <mergeCell ref="C4:C6"/>
    <mergeCell ref="D4:D6"/>
    <mergeCell ref="A2:D2"/>
    <mergeCell ref="G4:G6"/>
  </mergeCells>
  <dataValidations count="3">
    <dataValidation type="textLength" allowBlank="1" showInputMessage="1" showErrorMessage="1" errorTitle="ATTENZIONE ! ! ! " error="E' stato superato il limite di 500 caratteri" sqref="D4:D6 D15:D16 D19 D22:D26 D8 D13">
      <formula1>0</formula1>
      <formula2>500</formula2>
    </dataValidation>
    <dataValidation type="textLength" allowBlank="1" showInputMessage="1" showErrorMessage="1" errorTitle="ATTENZIONE ! ! !" error="E' stato superato il limite di 500 caratteri" sqref="D27 D30">
      <formula1>0</formula1>
      <formula2>500</formula2>
    </dataValidation>
    <dataValidation type="whole" allowBlank="1" showInputMessage="1" showErrorMessage="1" errorTitle="ERRORE NEL DATO IMMESSO" error="INSERIRE SOLO NUMERI INTERI" sqref="C30 C4:C6 C15:C16 C22:C27 C19 C8 C13">
      <formula1>0</formula1>
      <formula2>99999999999999900000</formula2>
    </dataValidation>
  </dataValidation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36">
    <tabColor rgb="FFCC0099"/>
  </sheetPr>
  <dimension ref="A1:Y52"/>
  <sheetViews>
    <sheetView showGridLines="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A4" sqref="A4"/>
    </sheetView>
  </sheetViews>
  <sheetFormatPr defaultRowHeight="10.199999999999999"/>
  <cols>
    <col min="1" max="1" width="52" style="5" customWidth="1"/>
    <col min="2" max="2" width="10" style="7" customWidth="1"/>
    <col min="3" max="5" width="10.85546875" style="7" customWidth="1"/>
    <col min="6" max="8" width="11.85546875" style="7" customWidth="1"/>
    <col min="9" max="15" width="13.85546875" style="7" customWidth="1"/>
    <col min="16" max="20" width="14.85546875" style="7" customWidth="1"/>
    <col min="21" max="21" width="9.28515625" style="110" customWidth="1"/>
  </cols>
  <sheetData>
    <row r="1" spans="1:24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V1" s="3"/>
      <c r="X1"/>
    </row>
    <row r="2" spans="1:24" s="5" customFormat="1" ht="21" customHeight="1"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315"/>
      <c r="V2" s="3"/>
      <c r="X2"/>
    </row>
    <row r="3" spans="1:24" s="5" customFormat="1" ht="21" customHeight="1">
      <c r="A3" s="196" t="s">
        <v>469</v>
      </c>
      <c r="B3" s="7"/>
      <c r="C3" s="7"/>
      <c r="D3" s="7"/>
    </row>
    <row r="4" spans="1:24" s="5" customFormat="1" ht="21" customHeight="1">
      <c r="A4" s="196"/>
      <c r="B4" s="7"/>
      <c r="C4" s="7"/>
      <c r="D4" s="7"/>
      <c r="F4" s="1521" t="s">
        <v>470</v>
      </c>
      <c r="G4" s="1522"/>
      <c r="H4" s="1523"/>
      <c r="I4" s="1521" t="s">
        <v>710</v>
      </c>
      <c r="J4" s="1522"/>
      <c r="K4" s="1522"/>
      <c r="L4" s="1522"/>
      <c r="M4" s="1522"/>
      <c r="N4" s="1522"/>
      <c r="O4" s="1523"/>
      <c r="P4" s="1521" t="s">
        <v>711</v>
      </c>
      <c r="Q4" s="1522"/>
      <c r="R4" s="1522"/>
      <c r="S4" s="1522"/>
      <c r="T4" s="1523"/>
    </row>
    <row r="5" spans="1:24" ht="58.8">
      <c r="A5" s="643" t="s">
        <v>270</v>
      </c>
      <c r="B5" s="644" t="s">
        <v>232</v>
      </c>
      <c r="C5" s="645" t="str">
        <f>"presenti al 31/12/"&amp;'t1'!M1&amp;" (tab.1)"</f>
        <v>presenti al 31/12/2017 (tab.1)</v>
      </c>
      <c r="D5" s="645" t="s">
        <v>31</v>
      </c>
      <c r="E5" s="646" t="s">
        <v>471</v>
      </c>
      <c r="F5" s="647" t="str">
        <f>'t11'!C4</f>
        <v>FERIE</v>
      </c>
      <c r="G5" s="647" t="s">
        <v>472</v>
      </c>
      <c r="H5" s="647" t="s">
        <v>473</v>
      </c>
      <c r="I5" s="647" t="s">
        <v>1051</v>
      </c>
      <c r="J5" s="647" t="str">
        <f>'t12'!E4</f>
        <v>R.I.A.</v>
      </c>
      <c r="K5" s="647" t="s">
        <v>1049</v>
      </c>
      <c r="L5" s="647" t="str">
        <f>'t12'!G4</f>
        <v>TREDICESIMA MENSILTA'</v>
      </c>
      <c r="M5" s="648" t="s">
        <v>474</v>
      </c>
      <c r="N5" s="649" t="str">
        <f>'t12'!H4</f>
        <v>ARRETRATI  ANNI PRECEDENTI</v>
      </c>
      <c r="O5" s="649" t="str">
        <f>'t12'!I4</f>
        <v>RECUPERI DERIVANTI DA ASSENZE, RITARDI, ECC.</v>
      </c>
      <c r="P5" s="647" t="s">
        <v>409</v>
      </c>
      <c r="Q5" s="647" t="s">
        <v>475</v>
      </c>
      <c r="R5" s="647" t="s">
        <v>476</v>
      </c>
      <c r="S5" s="648" t="s">
        <v>477</v>
      </c>
      <c r="T5" s="649" t="str">
        <f>'t13'!T4</f>
        <v>ARRETRATI ANNI PRECEDENTI</v>
      </c>
    </row>
    <row r="6" spans="1:24">
      <c r="A6" s="139" t="str">
        <f>'t1'!A6</f>
        <v>SEGRETARIO A</v>
      </c>
      <c r="B6" s="318" t="str">
        <f>'t1'!B6</f>
        <v>0D0102</v>
      </c>
      <c r="C6" s="650">
        <f>'t1'!L6+'t1'!M6</f>
        <v>0</v>
      </c>
      <c r="D6" s="650">
        <f>('t1'!L6+'t1'!M6)-SUM('t3'!C6:F6,'t3'!I6:L6)+SUM('t3'!M6:P6)</f>
        <v>0</v>
      </c>
      <c r="E6" s="651">
        <f>'t12'!C6/12</f>
        <v>0</v>
      </c>
      <c r="F6" s="651" t="str">
        <f>IF($D6&gt;0,(('t11'!C8+'t11'!D8)/$D6)," ")</f>
        <v xml:space="preserve"> </v>
      </c>
      <c r="G6" s="651" t="str">
        <f>IF($D6&gt;0,(SUM('t11'!E8:N8)/$D6)," ")</f>
        <v xml:space="preserve"> </v>
      </c>
      <c r="H6" s="651" t="str">
        <f>IF($D6&gt;0,(SUM('t11'!O8:R8)/$D6)," ")</f>
        <v xml:space="preserve"> </v>
      </c>
      <c r="I6" s="652" t="str">
        <f>IF($E6=0," ",('t12'!D6)/$E6)</f>
        <v xml:space="preserve"> </v>
      </c>
      <c r="J6" s="652" t="str">
        <f>IF($E6=0," ",'t12'!E6/$E6)</f>
        <v xml:space="preserve"> </v>
      </c>
      <c r="K6" s="652" t="str">
        <f>IF($E6=0," ",'t12'!F6/$E6)</f>
        <v xml:space="preserve"> </v>
      </c>
      <c r="L6" s="652" t="str">
        <f>IF($E6=0," ",'t12'!G6/$E6)</f>
        <v xml:space="preserve"> </v>
      </c>
      <c r="M6" s="653">
        <f>SUM(I6:L6)</f>
        <v>0</v>
      </c>
      <c r="N6" s="654" t="str">
        <f>IF($E6=0," ",'t12'!H6/$E6)</f>
        <v xml:space="preserve"> </v>
      </c>
      <c r="O6" s="654" t="str">
        <f>IF($E6=0," ",'t12'!I6/$E6)</f>
        <v xml:space="preserve"> </v>
      </c>
      <c r="P6" s="652" t="str">
        <f>IF($E6=0," ",'t13'!V6/$E6)</f>
        <v xml:space="preserve"> </v>
      </c>
      <c r="Q6" s="652" t="str">
        <f>IF($E6=0," ",SUM('t13'!C6:J6)/$E6)</f>
        <v xml:space="preserve"> </v>
      </c>
      <c r="R6" s="652" t="str">
        <f>IF($E6=0," ",(SUM('t13'!K6:S6)+'t13'!U6)/$E6)</f>
        <v xml:space="preserve"> </v>
      </c>
      <c r="S6" s="653">
        <f>SUM(P6:R6)</f>
        <v>0</v>
      </c>
      <c r="T6" s="654" t="str">
        <f>IF($E6=0," ",'t13'!T6/$E6)</f>
        <v xml:space="preserve"> </v>
      </c>
    </row>
    <row r="7" spans="1:24">
      <c r="A7" s="139" t="str">
        <f>'t1'!A7</f>
        <v>SEGRETARIO B</v>
      </c>
      <c r="B7" s="318" t="str">
        <f>'t1'!B7</f>
        <v>0D0103</v>
      </c>
      <c r="C7" s="650">
        <f>'t1'!L7+'t1'!M7</f>
        <v>0</v>
      </c>
      <c r="D7" s="650">
        <f>('t1'!L7+'t1'!M7)-SUM('t3'!C7:F7,'t3'!I7:L7)+SUM('t3'!M7:P7)</f>
        <v>0</v>
      </c>
      <c r="E7" s="651">
        <f>'t12'!C7/12</f>
        <v>0</v>
      </c>
      <c r="F7" s="651" t="str">
        <f>IF($D7&gt;0,(('t11'!C9+'t11'!D9)/$D7)," ")</f>
        <v xml:space="preserve"> </v>
      </c>
      <c r="G7" s="651" t="str">
        <f>IF($D7&gt;0,(SUM('t11'!E9:N9)/$D7)," ")</f>
        <v xml:space="preserve"> </v>
      </c>
      <c r="H7" s="651" t="str">
        <f>IF($D7&gt;0,(SUM('t11'!O9:R9)/$D7)," ")</f>
        <v xml:space="preserve"> </v>
      </c>
      <c r="I7" s="652" t="str">
        <f>IF($E7=0," ",('t12'!D7)/$E7)</f>
        <v xml:space="preserve"> </v>
      </c>
      <c r="J7" s="652" t="str">
        <f>IF($E7=0," ",'t12'!E7/$E7)</f>
        <v xml:space="preserve"> </v>
      </c>
      <c r="K7" s="652" t="str">
        <f>IF($E7=0," ",'t12'!F7/$E7)</f>
        <v xml:space="preserve"> </v>
      </c>
      <c r="L7" s="652" t="str">
        <f>IF($E7=0," ",'t12'!G7/$E7)</f>
        <v xml:space="preserve"> </v>
      </c>
      <c r="M7" s="653">
        <f t="shared" ref="M7:M49" si="0">SUM(I7:L7)</f>
        <v>0</v>
      </c>
      <c r="N7" s="654" t="str">
        <f>IF($E7=0," ",'t12'!H7/$E7)</f>
        <v xml:space="preserve"> </v>
      </c>
      <c r="O7" s="654" t="str">
        <f>IF($E7=0," ",'t12'!I7/$E7)</f>
        <v xml:space="preserve"> </v>
      </c>
      <c r="P7" s="652" t="str">
        <f>IF($E7=0," ",'t13'!V7/$E7)</f>
        <v xml:space="preserve"> </v>
      </c>
      <c r="Q7" s="652" t="str">
        <f>IF($E7=0," ",SUM('t13'!C7:J7)/$E7)</f>
        <v xml:space="preserve"> </v>
      </c>
      <c r="R7" s="652" t="str">
        <f>IF($E7=0," ",(SUM('t13'!K7:S7)+'t13'!U7)/$E7)</f>
        <v xml:space="preserve"> </v>
      </c>
      <c r="S7" s="653">
        <f t="shared" ref="S7:S49" si="1">SUM(P7:R7)</f>
        <v>0</v>
      </c>
      <c r="T7" s="654" t="str">
        <f>IF($E7=0," ",'t13'!T7/$E7)</f>
        <v xml:space="preserve"> </v>
      </c>
    </row>
    <row r="8" spans="1:24">
      <c r="A8" s="139" t="str">
        <f>'t1'!A8</f>
        <v>SEGRETARIO C</v>
      </c>
      <c r="B8" s="318" t="str">
        <f>'t1'!B8</f>
        <v>0D0485</v>
      </c>
      <c r="C8" s="650">
        <f>'t1'!L8+'t1'!M8</f>
        <v>0</v>
      </c>
      <c r="D8" s="650">
        <f>('t1'!L8+'t1'!M8)-SUM('t3'!C8:F8,'t3'!I8:L8)+SUM('t3'!M8:P8)</f>
        <v>0</v>
      </c>
      <c r="E8" s="651">
        <f>'t12'!C8/12</f>
        <v>0</v>
      </c>
      <c r="F8" s="651" t="str">
        <f>IF($D8&gt;0,(('t11'!C10+'t11'!D10)/$D8)," ")</f>
        <v xml:space="preserve"> </v>
      </c>
      <c r="G8" s="651" t="str">
        <f>IF($D8&gt;0,(SUM('t11'!E10:N10)/$D8)," ")</f>
        <v xml:space="preserve"> </v>
      </c>
      <c r="H8" s="651" t="str">
        <f>IF($D8&gt;0,(SUM('t11'!O10:R10)/$D8)," ")</f>
        <v xml:space="preserve"> </v>
      </c>
      <c r="I8" s="652" t="str">
        <f>IF($E8=0," ",('t12'!D8)/$E8)</f>
        <v xml:space="preserve"> </v>
      </c>
      <c r="J8" s="652" t="str">
        <f>IF($E8=0," ",'t12'!E8/$E8)</f>
        <v xml:space="preserve"> </v>
      </c>
      <c r="K8" s="652" t="str">
        <f>IF($E8=0," ",'t12'!F8/$E8)</f>
        <v xml:space="preserve"> </v>
      </c>
      <c r="L8" s="652" t="str">
        <f>IF($E8=0," ",'t12'!G8/$E8)</f>
        <v xml:space="preserve"> </v>
      </c>
      <c r="M8" s="653">
        <f t="shared" si="0"/>
        <v>0</v>
      </c>
      <c r="N8" s="654" t="str">
        <f>IF($E8=0," ",'t12'!H8/$E8)</f>
        <v xml:space="preserve"> </v>
      </c>
      <c r="O8" s="654" t="str">
        <f>IF($E8=0," ",'t12'!I8/$E8)</f>
        <v xml:space="preserve"> </v>
      </c>
      <c r="P8" s="652" t="str">
        <f>IF($E8=0," ",'t13'!V8/$E8)</f>
        <v xml:space="preserve"> </v>
      </c>
      <c r="Q8" s="652" t="str">
        <f>IF($E8=0," ",SUM('t13'!C8:J8)/$E8)</f>
        <v xml:space="preserve"> </v>
      </c>
      <c r="R8" s="652" t="str">
        <f>IF($E8=0," ",(SUM('t13'!K8:S8)+'t13'!U8)/$E8)</f>
        <v xml:space="preserve"> </v>
      </c>
      <c r="S8" s="653">
        <f t="shared" si="1"/>
        <v>0</v>
      </c>
      <c r="T8" s="654" t="str">
        <f>IF($E8=0," ",'t13'!T8/$E8)</f>
        <v xml:space="preserve"> </v>
      </c>
    </row>
    <row r="9" spans="1:24">
      <c r="A9" s="139" t="str">
        <f>'t1'!A9</f>
        <v>SEGRETARIO GENERALE CCIAA</v>
      </c>
      <c r="B9" s="318" t="str">
        <f>'t1'!B9</f>
        <v>0D0104</v>
      </c>
      <c r="C9" s="650">
        <f>'t1'!L9+'t1'!M9</f>
        <v>0</v>
      </c>
      <c r="D9" s="650">
        <f>('t1'!L9+'t1'!M9)-SUM('t3'!C9:F9,'t3'!I9:L9)+SUM('t3'!M9:P9)</f>
        <v>0</v>
      </c>
      <c r="E9" s="651">
        <f>'t12'!C9/12</f>
        <v>0</v>
      </c>
      <c r="F9" s="651" t="str">
        <f>IF($D9&gt;0,(('t11'!C11+'t11'!D11)/$D9)," ")</f>
        <v xml:space="preserve"> </v>
      </c>
      <c r="G9" s="651" t="str">
        <f>IF($D9&gt;0,(SUM('t11'!E11:N11)/$D9)," ")</f>
        <v xml:space="preserve"> </v>
      </c>
      <c r="H9" s="651" t="str">
        <f>IF($D9&gt;0,(SUM('t11'!O11:R11)/$D9)," ")</f>
        <v xml:space="preserve"> </v>
      </c>
      <c r="I9" s="652" t="str">
        <f>IF($E9=0," ",('t12'!D9)/$E9)</f>
        <v xml:space="preserve"> </v>
      </c>
      <c r="J9" s="652" t="str">
        <f>IF($E9=0," ",'t12'!E9/$E9)</f>
        <v xml:space="preserve"> </v>
      </c>
      <c r="K9" s="652" t="str">
        <f>IF($E9=0," ",'t12'!F9/$E9)</f>
        <v xml:space="preserve"> </v>
      </c>
      <c r="L9" s="652" t="str">
        <f>IF($E9=0," ",'t12'!G9/$E9)</f>
        <v xml:space="preserve"> </v>
      </c>
      <c r="M9" s="653">
        <f t="shared" si="0"/>
        <v>0</v>
      </c>
      <c r="N9" s="654" t="str">
        <f>IF($E9=0," ",'t12'!H9/$E9)</f>
        <v xml:space="preserve"> </v>
      </c>
      <c r="O9" s="654" t="str">
        <f>IF($E9=0," ",'t12'!I9/$E9)</f>
        <v xml:space="preserve"> </v>
      </c>
      <c r="P9" s="652" t="str">
        <f>IF($E9=0," ",'t13'!V9/$E9)</f>
        <v xml:space="preserve"> </v>
      </c>
      <c r="Q9" s="652" t="str">
        <f>IF($E9=0," ",SUM('t13'!C9:J9)/$E9)</f>
        <v xml:space="preserve"> </v>
      </c>
      <c r="R9" s="652" t="str">
        <f>IF($E9=0," ",(SUM('t13'!K9:S9)+'t13'!U9)/$E9)</f>
        <v xml:space="preserve"> </v>
      </c>
      <c r="S9" s="653">
        <f t="shared" si="1"/>
        <v>0</v>
      </c>
      <c r="T9" s="654" t="str">
        <f>IF($E9=0," ",'t13'!T9/$E9)</f>
        <v xml:space="preserve"> </v>
      </c>
    </row>
    <row r="10" spans="1:24">
      <c r="A10" s="139" t="str">
        <f>'t1'!A10</f>
        <v>DIRETTORE  GENERALE</v>
      </c>
      <c r="B10" s="318" t="str">
        <f>'t1'!B10</f>
        <v>0D0097</v>
      </c>
      <c r="C10" s="650">
        <f>'t1'!L10+'t1'!M10</f>
        <v>0</v>
      </c>
      <c r="D10" s="650">
        <f>('t1'!L10+'t1'!M10)-SUM('t3'!C10:F10,'t3'!I10:L10)+SUM('t3'!M10:P10)</f>
        <v>0</v>
      </c>
      <c r="E10" s="651">
        <f>'t12'!C10/12</f>
        <v>0</v>
      </c>
      <c r="F10" s="651" t="str">
        <f>IF($D10&gt;0,(('t11'!C12+'t11'!D12)/$D10)," ")</f>
        <v xml:space="preserve"> </v>
      </c>
      <c r="G10" s="651" t="str">
        <f>IF($D10&gt;0,(SUM('t11'!E12:N12)/$D10)," ")</f>
        <v xml:space="preserve"> </v>
      </c>
      <c r="H10" s="651" t="str">
        <f>IF($D10&gt;0,(SUM('t11'!O12:R12)/$D10)," ")</f>
        <v xml:space="preserve"> </v>
      </c>
      <c r="I10" s="652" t="str">
        <f>IF($E10=0," ",('t12'!D10)/$E10)</f>
        <v xml:space="preserve"> </v>
      </c>
      <c r="J10" s="652" t="str">
        <f>IF($E10=0," ",'t12'!E10/$E10)</f>
        <v xml:space="preserve"> </v>
      </c>
      <c r="K10" s="652" t="str">
        <f>IF($E10=0," ",'t12'!F10/$E10)</f>
        <v xml:space="preserve"> </v>
      </c>
      <c r="L10" s="652" t="str">
        <f>IF($E10=0," ",'t12'!G10/$E10)</f>
        <v xml:space="preserve"> </v>
      </c>
      <c r="M10" s="653">
        <f t="shared" si="0"/>
        <v>0</v>
      </c>
      <c r="N10" s="654" t="str">
        <f>IF($E10=0," ",'t12'!H10/$E10)</f>
        <v xml:space="preserve"> </v>
      </c>
      <c r="O10" s="654" t="str">
        <f>IF($E10=0," ",'t12'!I10/$E10)</f>
        <v xml:space="preserve"> </v>
      </c>
      <c r="P10" s="652" t="str">
        <f>IF($E10=0," ",'t13'!V10/$E10)</f>
        <v xml:space="preserve"> </v>
      </c>
      <c r="Q10" s="652" t="str">
        <f>IF($E10=0," ",SUM('t13'!C10:J10)/$E10)</f>
        <v xml:space="preserve"> </v>
      </c>
      <c r="R10" s="652" t="str">
        <f>IF($E10=0," ",(SUM('t13'!K10:S10)+'t13'!U10)/$E10)</f>
        <v xml:space="preserve"> </v>
      </c>
      <c r="S10" s="653">
        <f t="shared" si="1"/>
        <v>0</v>
      </c>
      <c r="T10" s="654" t="str">
        <f>IF($E10=0," ",'t13'!T10/$E10)</f>
        <v xml:space="preserve"> </v>
      </c>
    </row>
    <row r="11" spans="1:24">
      <c r="A11" s="139" t="str">
        <f>'t1'!A11</f>
        <v>DIRIGENTE FUORI D.O. art.110 c.2 TUEL</v>
      </c>
      <c r="B11" s="318" t="str">
        <f>'t1'!B11</f>
        <v>0D0098</v>
      </c>
      <c r="C11" s="650">
        <f>'t1'!L11+'t1'!M11</f>
        <v>0</v>
      </c>
      <c r="D11" s="650">
        <f>('t1'!L11+'t1'!M11)-SUM('t3'!C11:F11,'t3'!I11:L11)+SUM('t3'!M11:P11)</f>
        <v>0</v>
      </c>
      <c r="E11" s="651">
        <f>'t12'!C11/12</f>
        <v>0</v>
      </c>
      <c r="F11" s="651" t="str">
        <f>IF($D11&gt;0,(('t11'!C13+'t11'!D13)/$D11)," ")</f>
        <v xml:space="preserve"> </v>
      </c>
      <c r="G11" s="651" t="str">
        <f>IF($D11&gt;0,(SUM('t11'!E13:N13)/$D11)," ")</f>
        <v xml:space="preserve"> </v>
      </c>
      <c r="H11" s="651" t="str">
        <f>IF($D11&gt;0,(SUM('t11'!O13:R13)/$D11)," ")</f>
        <v xml:space="preserve"> </v>
      </c>
      <c r="I11" s="652" t="str">
        <f>IF($E11=0," ",('t12'!D11)/$E11)</f>
        <v xml:space="preserve"> </v>
      </c>
      <c r="J11" s="652" t="str">
        <f>IF($E11=0," ",'t12'!E11/$E11)</f>
        <v xml:space="preserve"> </v>
      </c>
      <c r="K11" s="652" t="str">
        <f>IF($E11=0," ",'t12'!F11/$E11)</f>
        <v xml:space="preserve"> </v>
      </c>
      <c r="L11" s="652" t="str">
        <f>IF($E11=0," ",'t12'!G11/$E11)</f>
        <v xml:space="preserve"> </v>
      </c>
      <c r="M11" s="653">
        <f t="shared" si="0"/>
        <v>0</v>
      </c>
      <c r="N11" s="654" t="str">
        <f>IF($E11=0," ",'t12'!H11/$E11)</f>
        <v xml:space="preserve"> </v>
      </c>
      <c r="O11" s="654" t="str">
        <f>IF($E11=0," ",'t12'!I11/$E11)</f>
        <v xml:space="preserve"> </v>
      </c>
      <c r="P11" s="652" t="str">
        <f>IF($E11=0," ",'t13'!V11/$E11)</f>
        <v xml:space="preserve"> </v>
      </c>
      <c r="Q11" s="652" t="str">
        <f>IF($E11=0," ",SUM('t13'!C11:J11)/$E11)</f>
        <v xml:space="preserve"> </v>
      </c>
      <c r="R11" s="652" t="str">
        <f>IF($E11=0," ",(SUM('t13'!K11:S11)+'t13'!U11)/$E11)</f>
        <v xml:space="preserve"> </v>
      </c>
      <c r="S11" s="653">
        <f t="shared" si="1"/>
        <v>0</v>
      </c>
      <c r="T11" s="654" t="str">
        <f>IF($E11=0," ",'t13'!T11/$E11)</f>
        <v xml:space="preserve"> </v>
      </c>
    </row>
    <row r="12" spans="1:24">
      <c r="A12" s="139" t="str">
        <f>'t1'!A12</f>
        <v>ALTE SPECIALIZZ. FUORI D.O.art.110 c.2 TUEL</v>
      </c>
      <c r="B12" s="318" t="str">
        <f>'t1'!B12</f>
        <v>0D0095</v>
      </c>
      <c r="C12" s="650">
        <f>'t1'!L12+'t1'!M12</f>
        <v>0</v>
      </c>
      <c r="D12" s="650">
        <f>('t1'!L12+'t1'!M12)-SUM('t3'!C12:F12,'t3'!I12:L12)+SUM('t3'!M12:P12)</f>
        <v>0</v>
      </c>
      <c r="E12" s="651">
        <f>'t12'!C12/12</f>
        <v>0</v>
      </c>
      <c r="F12" s="651" t="str">
        <f>IF($D12&gt;0,(('t11'!C14+'t11'!D14)/$D12)," ")</f>
        <v xml:space="preserve"> </v>
      </c>
      <c r="G12" s="651" t="str">
        <f>IF($D12&gt;0,(SUM('t11'!E14:N14)/$D12)," ")</f>
        <v xml:space="preserve"> </v>
      </c>
      <c r="H12" s="651" t="str">
        <f>IF($D12&gt;0,(SUM('t11'!O14:R14)/$D12)," ")</f>
        <v xml:space="preserve"> </v>
      </c>
      <c r="I12" s="652" t="str">
        <f>IF($E12=0," ",('t12'!D12)/$E12)</f>
        <v xml:space="preserve"> </v>
      </c>
      <c r="J12" s="652" t="str">
        <f>IF($E12=0," ",'t12'!E12/$E12)</f>
        <v xml:space="preserve"> </v>
      </c>
      <c r="K12" s="652" t="str">
        <f>IF($E12=0," ",'t12'!F12/$E12)</f>
        <v xml:space="preserve"> </v>
      </c>
      <c r="L12" s="652" t="str">
        <f>IF($E12=0," ",'t12'!G12/$E12)</f>
        <v xml:space="preserve"> </v>
      </c>
      <c r="M12" s="653">
        <f t="shared" si="0"/>
        <v>0</v>
      </c>
      <c r="N12" s="654" t="str">
        <f>IF($E12=0," ",'t12'!H12/$E12)</f>
        <v xml:space="preserve"> </v>
      </c>
      <c r="O12" s="654" t="str">
        <f>IF($E12=0," ",'t12'!I12/$E12)</f>
        <v xml:space="preserve"> </v>
      </c>
      <c r="P12" s="652" t="str">
        <f>IF($E12=0," ",'t13'!V12/$E12)</f>
        <v xml:space="preserve"> </v>
      </c>
      <c r="Q12" s="652" t="str">
        <f>IF($E12=0," ",SUM('t13'!C12:J12)/$E12)</f>
        <v xml:space="preserve"> </v>
      </c>
      <c r="R12" s="652" t="str">
        <f>IF($E12=0," ",(SUM('t13'!K12:S12)+'t13'!U12)/$E12)</f>
        <v xml:space="preserve"> </v>
      </c>
      <c r="S12" s="653">
        <f t="shared" si="1"/>
        <v>0</v>
      </c>
      <c r="T12" s="654" t="str">
        <f>IF($E12=0," ",'t13'!T12/$E12)</f>
        <v xml:space="preserve"> </v>
      </c>
    </row>
    <row r="13" spans="1:24">
      <c r="A13" s="139" t="str">
        <f>'t1'!A13</f>
        <v>DIRIGENTE A TEMPO INDETERMINATO</v>
      </c>
      <c r="B13" s="318" t="str">
        <f>'t1'!B13</f>
        <v>0D0164</v>
      </c>
      <c r="C13" s="650">
        <f>'t1'!L13+'t1'!M13</f>
        <v>0</v>
      </c>
      <c r="D13" s="650">
        <f>('t1'!L13+'t1'!M13)-SUM('t3'!C13:F13,'t3'!I13:L13)+SUM('t3'!M13:P13)</f>
        <v>0</v>
      </c>
      <c r="E13" s="651">
        <f>'t12'!C13/12</f>
        <v>0</v>
      </c>
      <c r="F13" s="651" t="str">
        <f>IF($D13&gt;0,(('t11'!C15+'t11'!D15)/$D13)," ")</f>
        <v xml:space="preserve"> </v>
      </c>
      <c r="G13" s="651" t="str">
        <f>IF($D13&gt;0,(SUM('t11'!E15:N15)/$D13)," ")</f>
        <v xml:space="preserve"> </v>
      </c>
      <c r="H13" s="651" t="str">
        <f>IF($D13&gt;0,(SUM('t11'!O15:R15)/$D13)," ")</f>
        <v xml:space="preserve"> </v>
      </c>
      <c r="I13" s="652" t="str">
        <f>IF($E13=0," ",('t12'!D13)/$E13)</f>
        <v xml:space="preserve"> </v>
      </c>
      <c r="J13" s="652" t="str">
        <f>IF($E13=0," ",'t12'!E13/$E13)</f>
        <v xml:space="preserve"> </v>
      </c>
      <c r="K13" s="652" t="str">
        <f>IF($E13=0," ",'t12'!F13/$E13)</f>
        <v xml:space="preserve"> </v>
      </c>
      <c r="L13" s="652" t="str">
        <f>IF($E13=0," ",'t12'!G13/$E13)</f>
        <v xml:space="preserve"> </v>
      </c>
      <c r="M13" s="653">
        <f t="shared" si="0"/>
        <v>0</v>
      </c>
      <c r="N13" s="654" t="str">
        <f>IF($E13=0," ",'t12'!H13/$E13)</f>
        <v xml:space="preserve"> </v>
      </c>
      <c r="O13" s="654" t="str">
        <f>IF($E13=0," ",'t12'!I13/$E13)</f>
        <v xml:space="preserve"> </v>
      </c>
      <c r="P13" s="652" t="str">
        <f>IF($E13=0," ",'t13'!V13/$E13)</f>
        <v xml:space="preserve"> </v>
      </c>
      <c r="Q13" s="652" t="str">
        <f>IF($E13=0," ",SUM('t13'!C13:J13)/$E13)</f>
        <v xml:space="preserve"> </v>
      </c>
      <c r="R13" s="652" t="str">
        <f>IF($E13=0," ",(SUM('t13'!K13:S13)+'t13'!U13)/$E13)</f>
        <v xml:space="preserve"> </v>
      </c>
      <c r="S13" s="653">
        <f t="shared" si="1"/>
        <v>0</v>
      </c>
      <c r="T13" s="654" t="str">
        <f>IF($E13=0," ",'t13'!T13/$E13)</f>
        <v xml:space="preserve"> </v>
      </c>
    </row>
    <row r="14" spans="1:24">
      <c r="A14" s="139" t="str">
        <f>'t1'!A14</f>
        <v>DIRIGENTE A TEMPO DET.TO  ART.110 C.1 TUEL</v>
      </c>
      <c r="B14" s="318" t="str">
        <f>'t1'!B14</f>
        <v>0D0165</v>
      </c>
      <c r="C14" s="650">
        <f>'t1'!L14+'t1'!M14</f>
        <v>0</v>
      </c>
      <c r="D14" s="650">
        <f>('t1'!L14+'t1'!M14)-SUM('t3'!C14:F14,'t3'!I14:L14)+SUM('t3'!M14:P14)</f>
        <v>0</v>
      </c>
      <c r="E14" s="651">
        <f>'t12'!C14/12</f>
        <v>0</v>
      </c>
      <c r="F14" s="651" t="str">
        <f>IF($D14&gt;0,(('t11'!C16+'t11'!D16)/$D14)," ")</f>
        <v xml:space="preserve"> </v>
      </c>
      <c r="G14" s="651" t="str">
        <f>IF($D14&gt;0,(SUM('t11'!E16:N16)/$D14)," ")</f>
        <v xml:space="preserve"> </v>
      </c>
      <c r="H14" s="651" t="str">
        <f>IF($D14&gt;0,(SUM('t11'!O16:R16)/$D14)," ")</f>
        <v xml:space="preserve"> </v>
      </c>
      <c r="I14" s="652" t="str">
        <f>IF($E14=0," ",('t12'!D14)/$E14)</f>
        <v xml:space="preserve"> </v>
      </c>
      <c r="J14" s="652" t="str">
        <f>IF($E14=0," ",'t12'!E14/$E14)</f>
        <v xml:space="preserve"> </v>
      </c>
      <c r="K14" s="652" t="str">
        <f>IF($E14=0," ",'t12'!F14/$E14)</f>
        <v xml:space="preserve"> </v>
      </c>
      <c r="L14" s="652" t="str">
        <f>IF($E14=0," ",'t12'!G14/$E14)</f>
        <v xml:space="preserve"> </v>
      </c>
      <c r="M14" s="653">
        <f t="shared" si="0"/>
        <v>0</v>
      </c>
      <c r="N14" s="654" t="str">
        <f>IF($E14=0," ",'t12'!H14/$E14)</f>
        <v xml:space="preserve"> </v>
      </c>
      <c r="O14" s="654" t="str">
        <f>IF($E14=0," ",'t12'!I14/$E14)</f>
        <v xml:space="preserve"> </v>
      </c>
      <c r="P14" s="652" t="str">
        <f>IF($E14=0," ",'t13'!V14/$E14)</f>
        <v xml:space="preserve"> </v>
      </c>
      <c r="Q14" s="652" t="str">
        <f>IF($E14=0," ",SUM('t13'!C14:J14)/$E14)</f>
        <v xml:space="preserve"> </v>
      </c>
      <c r="R14" s="652" t="str">
        <f>IF($E14=0," ",(SUM('t13'!K14:S14)+'t13'!U14)/$E14)</f>
        <v xml:space="preserve"> </v>
      </c>
      <c r="S14" s="653">
        <f t="shared" si="1"/>
        <v>0</v>
      </c>
      <c r="T14" s="654" t="str">
        <f>IF($E14=0," ",'t13'!T14/$E14)</f>
        <v xml:space="preserve"> </v>
      </c>
    </row>
    <row r="15" spans="1:24">
      <c r="A15" s="139" t="str">
        <f>'t1'!A15</f>
        <v>ALTE SPECIALIZZ. IN D.O. art.110 c.1 TUEL</v>
      </c>
      <c r="B15" s="318" t="str">
        <f>'t1'!B15</f>
        <v>0D0I95</v>
      </c>
      <c r="C15" s="650">
        <f>'t1'!L15+'t1'!M15</f>
        <v>0</v>
      </c>
      <c r="D15" s="650">
        <f>('t1'!L15+'t1'!M15)-SUM('t3'!C15:F15,'t3'!I15:L15)+SUM('t3'!M15:P15)</f>
        <v>0</v>
      </c>
      <c r="E15" s="651">
        <f>'t12'!C15/12</f>
        <v>0</v>
      </c>
      <c r="F15" s="651" t="str">
        <f>IF($D15&gt;0,(('t11'!C17+'t11'!D17)/$D15)," ")</f>
        <v xml:space="preserve"> </v>
      </c>
      <c r="G15" s="651" t="str">
        <f>IF($D15&gt;0,(SUM('t11'!E17:N17)/$D15)," ")</f>
        <v xml:space="preserve"> </v>
      </c>
      <c r="H15" s="651" t="str">
        <f>IF($D15&gt;0,(SUM('t11'!O17:R17)/$D15)," ")</f>
        <v xml:space="preserve"> </v>
      </c>
      <c r="I15" s="652" t="str">
        <f>IF($E15=0," ",('t12'!D15)/$E15)</f>
        <v xml:space="preserve"> </v>
      </c>
      <c r="J15" s="652" t="str">
        <f>IF($E15=0," ",'t12'!E15/$E15)</f>
        <v xml:space="preserve"> </v>
      </c>
      <c r="K15" s="652" t="str">
        <f>IF($E15=0," ",'t12'!F15/$E15)</f>
        <v xml:space="preserve"> </v>
      </c>
      <c r="L15" s="652" t="str">
        <f>IF($E15=0," ",'t12'!G15/$E15)</f>
        <v xml:space="preserve"> </v>
      </c>
      <c r="M15" s="653">
        <f t="shared" si="0"/>
        <v>0</v>
      </c>
      <c r="N15" s="654" t="str">
        <f>IF($E15=0," ",'t12'!H15/$E15)</f>
        <v xml:space="preserve"> </v>
      </c>
      <c r="O15" s="654" t="str">
        <f>IF($E15=0," ",'t12'!I15/$E15)</f>
        <v xml:space="preserve"> </v>
      </c>
      <c r="P15" s="652" t="str">
        <f>IF($E15=0," ",'t13'!V15/$E15)</f>
        <v xml:space="preserve"> </v>
      </c>
      <c r="Q15" s="652" t="str">
        <f>IF($E15=0," ",SUM('t13'!C15:J15)/$E15)</f>
        <v xml:space="preserve"> </v>
      </c>
      <c r="R15" s="652" t="str">
        <f>IF($E15=0," ",(SUM('t13'!K15:S15)+'t13'!U15)/$E15)</f>
        <v xml:space="preserve"> </v>
      </c>
      <c r="S15" s="653">
        <f t="shared" si="1"/>
        <v>0</v>
      </c>
      <c r="T15" s="654" t="str">
        <f>IF($E15=0," ",'t13'!T15/$E15)</f>
        <v xml:space="preserve"> </v>
      </c>
    </row>
    <row r="16" spans="1:24">
      <c r="A16" s="139" t="str">
        <f>'t1'!A16</f>
        <v>POSIZ. ECON. D6 - PROFILI ACCESSO D3</v>
      </c>
      <c r="B16" s="318" t="str">
        <f>'t1'!B16</f>
        <v>0D6A00</v>
      </c>
      <c r="C16" s="650">
        <f>'t1'!L16+'t1'!M16</f>
        <v>0</v>
      </c>
      <c r="D16" s="650">
        <f>('t1'!L16+'t1'!M16)-SUM('t3'!C16:F16,'t3'!I16:L16)+SUM('t3'!M16:P16)</f>
        <v>0</v>
      </c>
      <c r="E16" s="651">
        <f>'t12'!C16/12</f>
        <v>0</v>
      </c>
      <c r="F16" s="651" t="str">
        <f>IF($D16&gt;0,(('t11'!C18+'t11'!D18)/$D16)," ")</f>
        <v xml:space="preserve"> </v>
      </c>
      <c r="G16" s="651" t="str">
        <f>IF($D16&gt;0,(SUM('t11'!E18:N18)/$D16)," ")</f>
        <v xml:space="preserve"> </v>
      </c>
      <c r="H16" s="651" t="str">
        <f>IF($D16&gt;0,(SUM('t11'!O18:R18)/$D16)," ")</f>
        <v xml:space="preserve"> </v>
      </c>
      <c r="I16" s="652" t="str">
        <f>IF($E16=0," ",('t12'!D16)/$E16)</f>
        <v xml:space="preserve"> </v>
      </c>
      <c r="J16" s="652" t="str">
        <f>IF($E16=0," ",'t12'!E16/$E16)</f>
        <v xml:space="preserve"> </v>
      </c>
      <c r="K16" s="652" t="str">
        <f>IF($E16=0," ",'t12'!F16/$E16)</f>
        <v xml:space="preserve"> </v>
      </c>
      <c r="L16" s="652" t="str">
        <f>IF($E16=0," ",'t12'!G16/$E16)</f>
        <v xml:space="preserve"> </v>
      </c>
      <c r="M16" s="653">
        <f t="shared" si="0"/>
        <v>0</v>
      </c>
      <c r="N16" s="654" t="str">
        <f>IF($E16=0," ",'t12'!H16/$E16)</f>
        <v xml:space="preserve"> </v>
      </c>
      <c r="O16" s="654" t="str">
        <f>IF($E16=0," ",'t12'!I16/$E16)</f>
        <v xml:space="preserve"> </v>
      </c>
      <c r="P16" s="652" t="str">
        <f>IF($E16=0," ",'t13'!V16/$E16)</f>
        <v xml:space="preserve"> </v>
      </c>
      <c r="Q16" s="652" t="str">
        <f>IF($E16=0," ",SUM('t13'!C16:J16)/$E16)</f>
        <v xml:space="preserve"> </v>
      </c>
      <c r="R16" s="652" t="str">
        <f>IF($E16=0," ",(SUM('t13'!K16:S16)+'t13'!U16)/$E16)</f>
        <v xml:space="preserve"> </v>
      </c>
      <c r="S16" s="653">
        <f t="shared" si="1"/>
        <v>0</v>
      </c>
      <c r="T16" s="654" t="str">
        <f>IF($E16=0," ",'t13'!T16/$E16)</f>
        <v xml:space="preserve"> </v>
      </c>
    </row>
    <row r="17" spans="1:25" s="110" customFormat="1">
      <c r="A17" s="139" t="str">
        <f>'t1'!A17</f>
        <v>POSIZ. ECON. D6 - PROFILO ACCESSO D1</v>
      </c>
      <c r="B17" s="318" t="str">
        <f>'t1'!B17</f>
        <v>0D6000</v>
      </c>
      <c r="C17" s="650">
        <f>'t1'!L17+'t1'!M17</f>
        <v>0</v>
      </c>
      <c r="D17" s="650">
        <f>('t1'!L17+'t1'!M17)-SUM('t3'!C17:F17,'t3'!I17:L17)+SUM('t3'!M17:P17)</f>
        <v>0</v>
      </c>
      <c r="E17" s="651">
        <f>'t12'!C17/12</f>
        <v>0</v>
      </c>
      <c r="F17" s="651" t="str">
        <f>IF($D17&gt;0,(('t11'!C19+'t11'!D19)/$D17)," ")</f>
        <v xml:space="preserve"> </v>
      </c>
      <c r="G17" s="651" t="str">
        <f>IF($D17&gt;0,(SUM('t11'!E19:N19)/$D17)," ")</f>
        <v xml:space="preserve"> </v>
      </c>
      <c r="H17" s="651" t="str">
        <f>IF($D17&gt;0,(SUM('t11'!O19:R19)/$D17)," ")</f>
        <v xml:space="preserve"> </v>
      </c>
      <c r="I17" s="652" t="str">
        <f>IF($E17=0," ",('t12'!D17)/$E17)</f>
        <v xml:space="preserve"> </v>
      </c>
      <c r="J17" s="652" t="str">
        <f>IF($E17=0," ",'t12'!E17/$E17)</f>
        <v xml:space="preserve"> </v>
      </c>
      <c r="K17" s="652" t="str">
        <f>IF($E17=0," ",'t12'!F17/$E17)</f>
        <v xml:space="preserve"> </v>
      </c>
      <c r="L17" s="652" t="str">
        <f>IF($E17=0," ",'t12'!G17/$E17)</f>
        <v xml:space="preserve"> </v>
      </c>
      <c r="M17" s="653">
        <f t="shared" si="0"/>
        <v>0</v>
      </c>
      <c r="N17" s="654" t="str">
        <f>IF($E17=0," ",'t12'!H17/$E17)</f>
        <v xml:space="preserve"> </v>
      </c>
      <c r="O17" s="654" t="str">
        <f>IF($E17=0," ",'t12'!I17/$E17)</f>
        <v xml:space="preserve"> </v>
      </c>
      <c r="P17" s="652" t="str">
        <f>IF($E17=0," ",'t13'!V17/$E17)</f>
        <v xml:space="preserve"> </v>
      </c>
      <c r="Q17" s="652" t="str">
        <f>IF($E17=0," ",SUM('t13'!C17:J17)/$E17)</f>
        <v xml:space="preserve"> </v>
      </c>
      <c r="R17" s="652" t="str">
        <f>IF($E17=0," ",(SUM('t13'!K17:S17)+'t13'!U17)/$E17)</f>
        <v xml:space="preserve"> </v>
      </c>
      <c r="S17" s="653">
        <f t="shared" si="1"/>
        <v>0</v>
      </c>
      <c r="T17" s="654" t="str">
        <f>IF($E17=0," ",'t13'!T17/$E17)</f>
        <v xml:space="preserve"> </v>
      </c>
      <c r="V17"/>
      <c r="W17"/>
      <c r="X17"/>
      <c r="Y17"/>
    </row>
    <row r="18" spans="1:25" s="110" customFormat="1">
      <c r="A18" s="139" t="str">
        <f>'t1'!A18</f>
        <v>POSIZ. ECON. D5 PROFILI ACCESSO D3</v>
      </c>
      <c r="B18" s="318" t="str">
        <f>'t1'!B18</f>
        <v>052486</v>
      </c>
      <c r="C18" s="650">
        <f>'t1'!L18+'t1'!M18</f>
        <v>0</v>
      </c>
      <c r="D18" s="650">
        <f>('t1'!L18+'t1'!M18)-SUM('t3'!C18:F18,'t3'!I18:L18)+SUM('t3'!M18:P18)</f>
        <v>0</v>
      </c>
      <c r="E18" s="651">
        <f>'t12'!C18/12</f>
        <v>0</v>
      </c>
      <c r="F18" s="651" t="str">
        <f>IF($D18&gt;0,(('t11'!C20+'t11'!D20)/$D18)," ")</f>
        <v xml:space="preserve"> </v>
      </c>
      <c r="G18" s="651" t="str">
        <f>IF($D18&gt;0,(SUM('t11'!E20:N20)/$D18)," ")</f>
        <v xml:space="preserve"> </v>
      </c>
      <c r="H18" s="651" t="str">
        <f>IF($D18&gt;0,(SUM('t11'!O20:R20)/$D18)," ")</f>
        <v xml:space="preserve"> </v>
      </c>
      <c r="I18" s="652" t="str">
        <f>IF($E18=0," ",('t12'!D18)/$E18)</f>
        <v xml:space="preserve"> </v>
      </c>
      <c r="J18" s="652" t="str">
        <f>IF($E18=0," ",'t12'!E18/$E18)</f>
        <v xml:space="preserve"> </v>
      </c>
      <c r="K18" s="652" t="str">
        <f>IF($E18=0," ",'t12'!F18/$E18)</f>
        <v xml:space="preserve"> </v>
      </c>
      <c r="L18" s="652" t="str">
        <f>IF($E18=0," ",'t12'!G18/$E18)</f>
        <v xml:space="preserve"> </v>
      </c>
      <c r="M18" s="653">
        <f t="shared" si="0"/>
        <v>0</v>
      </c>
      <c r="N18" s="654" t="str">
        <f>IF($E18=0," ",'t12'!H18/$E18)</f>
        <v xml:space="preserve"> </v>
      </c>
      <c r="O18" s="654" t="str">
        <f>IF($E18=0," ",'t12'!I18/$E18)</f>
        <v xml:space="preserve"> </v>
      </c>
      <c r="P18" s="652" t="str">
        <f>IF($E18=0," ",'t13'!V18/$E18)</f>
        <v xml:space="preserve"> </v>
      </c>
      <c r="Q18" s="652" t="str">
        <f>IF($E18=0," ",SUM('t13'!C18:J18)/$E18)</f>
        <v xml:space="preserve"> </v>
      </c>
      <c r="R18" s="652" t="str">
        <f>IF($E18=0," ",(SUM('t13'!K18:S18)+'t13'!U18)/$E18)</f>
        <v xml:space="preserve"> </v>
      </c>
      <c r="S18" s="653">
        <f t="shared" si="1"/>
        <v>0</v>
      </c>
      <c r="T18" s="654" t="str">
        <f>IF($E18=0," ",'t13'!T18/$E18)</f>
        <v xml:space="preserve"> </v>
      </c>
      <c r="V18"/>
      <c r="W18"/>
      <c r="X18"/>
      <c r="Y18"/>
    </row>
    <row r="19" spans="1:25" s="110" customFormat="1">
      <c r="A19" s="139" t="str">
        <f>'t1'!A19</f>
        <v>POSIZ. ECON. D5 PROFILI ACCESSO D1</v>
      </c>
      <c r="B19" s="318" t="str">
        <f>'t1'!B19</f>
        <v>052487</v>
      </c>
      <c r="C19" s="650">
        <f>'t1'!L19+'t1'!M19</f>
        <v>0</v>
      </c>
      <c r="D19" s="650">
        <f>('t1'!L19+'t1'!M19)-SUM('t3'!C19:F19,'t3'!I19:L19)+SUM('t3'!M19:P19)</f>
        <v>0</v>
      </c>
      <c r="E19" s="651">
        <f>'t12'!C19/12</f>
        <v>0</v>
      </c>
      <c r="F19" s="651" t="str">
        <f>IF($D19&gt;0,(('t11'!C21+'t11'!D21)/$D19)," ")</f>
        <v xml:space="preserve"> </v>
      </c>
      <c r="G19" s="651" t="str">
        <f>IF($D19&gt;0,(SUM('t11'!E21:N21)/$D19)," ")</f>
        <v xml:space="preserve"> </v>
      </c>
      <c r="H19" s="651" t="str">
        <f>IF($D19&gt;0,(SUM('t11'!O21:R21)/$D19)," ")</f>
        <v xml:space="preserve"> </v>
      </c>
      <c r="I19" s="652" t="str">
        <f>IF($E19=0," ",('t12'!D19)/$E19)</f>
        <v xml:space="preserve"> </v>
      </c>
      <c r="J19" s="652" t="str">
        <f>IF($E19=0," ",'t12'!E19/$E19)</f>
        <v xml:space="preserve"> </v>
      </c>
      <c r="K19" s="652" t="str">
        <f>IF($E19=0," ",'t12'!F19/$E19)</f>
        <v xml:space="preserve"> </v>
      </c>
      <c r="L19" s="652" t="str">
        <f>IF($E19=0," ",'t12'!G19/$E19)</f>
        <v xml:space="preserve"> </v>
      </c>
      <c r="M19" s="653">
        <f t="shared" si="0"/>
        <v>0</v>
      </c>
      <c r="N19" s="654" t="str">
        <f>IF($E19=0," ",'t12'!H19/$E19)</f>
        <v xml:space="preserve"> </v>
      </c>
      <c r="O19" s="654" t="str">
        <f>IF($E19=0," ",'t12'!I19/$E19)</f>
        <v xml:space="preserve"> </v>
      </c>
      <c r="P19" s="652" t="str">
        <f>IF($E19=0," ",'t13'!V19/$E19)</f>
        <v xml:space="preserve"> </v>
      </c>
      <c r="Q19" s="652" t="str">
        <f>IF($E19=0," ",SUM('t13'!C19:J19)/$E19)</f>
        <v xml:space="preserve"> </v>
      </c>
      <c r="R19" s="652" t="str">
        <f>IF($E19=0," ",(SUM('t13'!K19:S19)+'t13'!U19)/$E19)</f>
        <v xml:space="preserve"> </v>
      </c>
      <c r="S19" s="653">
        <f t="shared" si="1"/>
        <v>0</v>
      </c>
      <c r="T19" s="654" t="str">
        <f>IF($E19=0," ",'t13'!T19/$E19)</f>
        <v xml:space="preserve"> </v>
      </c>
      <c r="V19"/>
      <c r="W19"/>
      <c r="X19"/>
      <c r="Y19"/>
    </row>
    <row r="20" spans="1:25" s="110" customFormat="1">
      <c r="A20" s="139" t="str">
        <f>'t1'!A20</f>
        <v>POSIZ. ECON. D4 PROFILI ACCESSO D3</v>
      </c>
      <c r="B20" s="318" t="str">
        <f>'t1'!B20</f>
        <v>051488</v>
      </c>
      <c r="C20" s="650">
        <f>'t1'!L20+'t1'!M20</f>
        <v>0</v>
      </c>
      <c r="D20" s="650">
        <f>('t1'!L20+'t1'!M20)-SUM('t3'!C20:F20,'t3'!I20:L20)+SUM('t3'!M20:P20)</f>
        <v>0</v>
      </c>
      <c r="E20" s="651">
        <f>'t12'!C20/12</f>
        <v>0</v>
      </c>
      <c r="F20" s="651" t="str">
        <f>IF($D20&gt;0,(('t11'!C22+'t11'!D22)/$D20)," ")</f>
        <v xml:space="preserve"> </v>
      </c>
      <c r="G20" s="651" t="str">
        <f>IF($D20&gt;0,(SUM('t11'!E22:N22)/$D20)," ")</f>
        <v xml:space="preserve"> </v>
      </c>
      <c r="H20" s="651" t="str">
        <f>IF($D20&gt;0,(SUM('t11'!O22:R22)/$D20)," ")</f>
        <v xml:space="preserve"> </v>
      </c>
      <c r="I20" s="652" t="str">
        <f>IF($E20=0," ",('t12'!D20)/$E20)</f>
        <v xml:space="preserve"> </v>
      </c>
      <c r="J20" s="652" t="str">
        <f>IF($E20=0," ",'t12'!E20/$E20)</f>
        <v xml:space="preserve"> </v>
      </c>
      <c r="K20" s="652" t="str">
        <f>IF($E20=0," ",'t12'!F20/$E20)</f>
        <v xml:space="preserve"> </v>
      </c>
      <c r="L20" s="652" t="str">
        <f>IF($E20=0," ",'t12'!G20/$E20)</f>
        <v xml:space="preserve"> </v>
      </c>
      <c r="M20" s="653">
        <f t="shared" si="0"/>
        <v>0</v>
      </c>
      <c r="N20" s="654" t="str">
        <f>IF($E20=0," ",'t12'!H20/$E20)</f>
        <v xml:space="preserve"> </v>
      </c>
      <c r="O20" s="654" t="str">
        <f>IF($E20=0," ",'t12'!I20/$E20)</f>
        <v xml:space="preserve"> </v>
      </c>
      <c r="P20" s="652" t="str">
        <f>IF($E20=0," ",'t13'!V20/$E20)</f>
        <v xml:space="preserve"> </v>
      </c>
      <c r="Q20" s="652" t="str">
        <f>IF($E20=0," ",SUM('t13'!C20:J20)/$E20)</f>
        <v xml:space="preserve"> </v>
      </c>
      <c r="R20" s="652" t="str">
        <f>IF($E20=0," ",(SUM('t13'!K20:S20)+'t13'!U20)/$E20)</f>
        <v xml:space="preserve"> </v>
      </c>
      <c r="S20" s="653">
        <f t="shared" si="1"/>
        <v>0</v>
      </c>
      <c r="T20" s="654" t="str">
        <f>IF($E20=0," ",'t13'!T20/$E20)</f>
        <v xml:space="preserve"> </v>
      </c>
      <c r="V20"/>
      <c r="W20"/>
      <c r="X20"/>
      <c r="Y20"/>
    </row>
    <row r="21" spans="1:25" s="110" customFormat="1">
      <c r="A21" s="139" t="str">
        <f>'t1'!A21</f>
        <v>POSIZ. ECON. D4 PROFILI ACCESSO D1</v>
      </c>
      <c r="B21" s="318" t="str">
        <f>'t1'!B21</f>
        <v>051489</v>
      </c>
      <c r="C21" s="650">
        <f>'t1'!L21+'t1'!M21</f>
        <v>0</v>
      </c>
      <c r="D21" s="650">
        <f>('t1'!L21+'t1'!M21)-SUM('t3'!C21:F21,'t3'!I21:L21)+SUM('t3'!M21:P21)</f>
        <v>0</v>
      </c>
      <c r="E21" s="651">
        <f>'t12'!C21/12</f>
        <v>0</v>
      </c>
      <c r="F21" s="651" t="str">
        <f>IF($D21&gt;0,(('t11'!C23+'t11'!D23)/$D21)," ")</f>
        <v xml:space="preserve"> </v>
      </c>
      <c r="G21" s="651" t="str">
        <f>IF($D21&gt;0,(SUM('t11'!E23:N23)/$D21)," ")</f>
        <v xml:space="preserve"> </v>
      </c>
      <c r="H21" s="651" t="str">
        <f>IF($D21&gt;0,(SUM('t11'!O23:R23)/$D21)," ")</f>
        <v xml:space="preserve"> </v>
      </c>
      <c r="I21" s="652" t="str">
        <f>IF($E21=0," ",('t12'!D21)/$E21)</f>
        <v xml:space="preserve"> </v>
      </c>
      <c r="J21" s="652" t="str">
        <f>IF($E21=0," ",'t12'!E21/$E21)</f>
        <v xml:space="preserve"> </v>
      </c>
      <c r="K21" s="652" t="str">
        <f>IF($E21=0," ",'t12'!F21/$E21)</f>
        <v xml:space="preserve"> </v>
      </c>
      <c r="L21" s="652" t="str">
        <f>IF($E21=0," ",'t12'!G21/$E21)</f>
        <v xml:space="preserve"> </v>
      </c>
      <c r="M21" s="653">
        <f t="shared" si="0"/>
        <v>0</v>
      </c>
      <c r="N21" s="654" t="str">
        <f>IF($E21=0," ",'t12'!H21/$E21)</f>
        <v xml:space="preserve"> </v>
      </c>
      <c r="O21" s="654" t="str">
        <f>IF($E21=0," ",'t12'!I21/$E21)</f>
        <v xml:space="preserve"> </v>
      </c>
      <c r="P21" s="652" t="str">
        <f>IF($E21=0," ",'t13'!V21/$E21)</f>
        <v xml:space="preserve"> </v>
      </c>
      <c r="Q21" s="652" t="str">
        <f>IF($E21=0," ",SUM('t13'!C21:J21)/$E21)</f>
        <v xml:space="preserve"> </v>
      </c>
      <c r="R21" s="652" t="str">
        <f>IF($E21=0," ",(SUM('t13'!K21:S21)+'t13'!U21)/$E21)</f>
        <v xml:space="preserve"> </v>
      </c>
      <c r="S21" s="653">
        <f t="shared" si="1"/>
        <v>0</v>
      </c>
      <c r="T21" s="654" t="str">
        <f>IF($E21=0," ",'t13'!T21/$E21)</f>
        <v xml:space="preserve"> </v>
      </c>
      <c r="V21"/>
      <c r="W21"/>
      <c r="X21"/>
      <c r="Y21"/>
    </row>
    <row r="22" spans="1:25" s="110" customFormat="1">
      <c r="A22" s="139" t="str">
        <f>'t1'!A22</f>
        <v>POSIZIONE ECONOMICA DI ACCESSO D3</v>
      </c>
      <c r="B22" s="318" t="str">
        <f>'t1'!B22</f>
        <v>058000</v>
      </c>
      <c r="C22" s="650">
        <f>'t1'!L22+'t1'!M22</f>
        <v>0</v>
      </c>
      <c r="D22" s="650">
        <f>('t1'!L22+'t1'!M22)-SUM('t3'!C22:F22,'t3'!I22:L22)+SUM('t3'!M22:P22)</f>
        <v>0</v>
      </c>
      <c r="E22" s="651">
        <f>'t12'!C22/12</f>
        <v>0</v>
      </c>
      <c r="F22" s="651" t="str">
        <f>IF($D22&gt;0,(('t11'!C24+'t11'!D24)/$D22)," ")</f>
        <v xml:space="preserve"> </v>
      </c>
      <c r="G22" s="651" t="str">
        <f>IF($D22&gt;0,(SUM('t11'!E24:N24)/$D22)," ")</f>
        <v xml:space="preserve"> </v>
      </c>
      <c r="H22" s="651" t="str">
        <f>IF($D22&gt;0,(SUM('t11'!O24:R24)/$D22)," ")</f>
        <v xml:space="preserve"> </v>
      </c>
      <c r="I22" s="652" t="str">
        <f>IF($E22=0," ",('t12'!D22)/$E22)</f>
        <v xml:space="preserve"> </v>
      </c>
      <c r="J22" s="652" t="str">
        <f>IF($E22=0," ",'t12'!E22/$E22)</f>
        <v xml:space="preserve"> </v>
      </c>
      <c r="K22" s="652" t="str">
        <f>IF($E22=0," ",'t12'!F22/$E22)</f>
        <v xml:space="preserve"> </v>
      </c>
      <c r="L22" s="652" t="str">
        <f>IF($E22=0," ",'t12'!G22/$E22)</f>
        <v xml:space="preserve"> </v>
      </c>
      <c r="M22" s="653">
        <f t="shared" si="0"/>
        <v>0</v>
      </c>
      <c r="N22" s="654" t="str">
        <f>IF($E22=0," ",'t12'!H22/$E22)</f>
        <v xml:space="preserve"> </v>
      </c>
      <c r="O22" s="654" t="str">
        <f>IF($E22=0," ",'t12'!I22/$E22)</f>
        <v xml:space="preserve"> </v>
      </c>
      <c r="P22" s="652" t="str">
        <f>IF($E22=0," ",'t13'!V22/$E22)</f>
        <v xml:space="preserve"> </v>
      </c>
      <c r="Q22" s="652" t="str">
        <f>IF($E22=0," ",SUM('t13'!C22:J22)/$E22)</f>
        <v xml:space="preserve"> </v>
      </c>
      <c r="R22" s="652" t="str">
        <f>IF($E22=0," ",(SUM('t13'!K22:S22)+'t13'!U22)/$E22)</f>
        <v xml:space="preserve"> </v>
      </c>
      <c r="S22" s="653">
        <f t="shared" si="1"/>
        <v>0</v>
      </c>
      <c r="T22" s="654" t="str">
        <f>IF($E22=0," ",'t13'!T22/$E22)</f>
        <v xml:space="preserve"> </v>
      </c>
      <c r="V22"/>
      <c r="W22"/>
      <c r="X22"/>
      <c r="Y22"/>
    </row>
    <row r="23" spans="1:25" s="110" customFormat="1">
      <c r="A23" s="139" t="str">
        <f>'t1'!A23</f>
        <v>POSIZIONE ECONOMICA D3</v>
      </c>
      <c r="B23" s="318" t="str">
        <f>'t1'!B23</f>
        <v>050000</v>
      </c>
      <c r="C23" s="650">
        <f>'t1'!L23+'t1'!M23</f>
        <v>0</v>
      </c>
      <c r="D23" s="650">
        <f>('t1'!L23+'t1'!M23)-SUM('t3'!C23:F23,'t3'!I23:L23)+SUM('t3'!M23:P23)</f>
        <v>0</v>
      </c>
      <c r="E23" s="651">
        <f>'t12'!C23/12</f>
        <v>0</v>
      </c>
      <c r="F23" s="651" t="str">
        <f>IF($D23&gt;0,(('t11'!C25+'t11'!D25)/$D23)," ")</f>
        <v xml:space="preserve"> </v>
      </c>
      <c r="G23" s="651" t="str">
        <f>IF($D23&gt;0,(SUM('t11'!E25:N25)/$D23)," ")</f>
        <v xml:space="preserve"> </v>
      </c>
      <c r="H23" s="651" t="str">
        <f>IF($D23&gt;0,(SUM('t11'!O25:R25)/$D23)," ")</f>
        <v xml:space="preserve"> </v>
      </c>
      <c r="I23" s="652" t="str">
        <f>IF($E23=0," ",('t12'!D23)/$E23)</f>
        <v xml:space="preserve"> </v>
      </c>
      <c r="J23" s="652" t="str">
        <f>IF($E23=0," ",'t12'!E23/$E23)</f>
        <v xml:space="preserve"> </v>
      </c>
      <c r="K23" s="652" t="str">
        <f>IF($E23=0," ",'t12'!F23/$E23)</f>
        <v xml:space="preserve"> </v>
      </c>
      <c r="L23" s="652" t="str">
        <f>IF($E23=0," ",'t12'!G23/$E23)</f>
        <v xml:space="preserve"> </v>
      </c>
      <c r="M23" s="653">
        <f t="shared" si="0"/>
        <v>0</v>
      </c>
      <c r="N23" s="654" t="str">
        <f>IF($E23=0," ",'t12'!H23/$E23)</f>
        <v xml:space="preserve"> </v>
      </c>
      <c r="O23" s="654" t="str">
        <f>IF($E23=0," ",'t12'!I23/$E23)</f>
        <v xml:space="preserve"> </v>
      </c>
      <c r="P23" s="652" t="str">
        <f>IF($E23=0," ",'t13'!V23/$E23)</f>
        <v xml:space="preserve"> </v>
      </c>
      <c r="Q23" s="652" t="str">
        <f>IF($E23=0," ",SUM('t13'!C23:J23)/$E23)</f>
        <v xml:space="preserve"> </v>
      </c>
      <c r="R23" s="652" t="str">
        <f>IF($E23=0," ",(SUM('t13'!K23:S23)+'t13'!U23)/$E23)</f>
        <v xml:space="preserve"> </v>
      </c>
      <c r="S23" s="653">
        <f t="shared" si="1"/>
        <v>0</v>
      </c>
      <c r="T23" s="654" t="str">
        <f>IF($E23=0," ",'t13'!T23/$E23)</f>
        <v xml:space="preserve"> </v>
      </c>
      <c r="V23"/>
      <c r="W23"/>
      <c r="X23"/>
      <c r="Y23"/>
    </row>
    <row r="24" spans="1:25" s="110" customFormat="1">
      <c r="A24" s="139" t="str">
        <f>'t1'!A24</f>
        <v>POSIZIONE ECONOMICA D2</v>
      </c>
      <c r="B24" s="318" t="str">
        <f>'t1'!B24</f>
        <v>049000</v>
      </c>
      <c r="C24" s="650">
        <f>'t1'!L24+'t1'!M24</f>
        <v>0</v>
      </c>
      <c r="D24" s="650">
        <f>('t1'!L24+'t1'!M24)-SUM('t3'!C24:F24,'t3'!I24:L24)+SUM('t3'!M24:P24)</f>
        <v>0</v>
      </c>
      <c r="E24" s="651">
        <f>'t12'!C24/12</f>
        <v>0.6</v>
      </c>
      <c r="F24" s="651" t="str">
        <f>IF($D24&gt;0,(('t11'!C26+'t11'!D26)/$D24)," ")</f>
        <v xml:space="preserve"> </v>
      </c>
      <c r="G24" s="651" t="str">
        <f>IF($D24&gt;0,(SUM('t11'!E26:N26)/$D24)," ")</f>
        <v xml:space="preserve"> </v>
      </c>
      <c r="H24" s="651" t="str">
        <f>IF($D24&gt;0,(SUM('t11'!O26:R26)/$D24)," ")</f>
        <v xml:space="preserve"> </v>
      </c>
      <c r="I24" s="652">
        <f>IF($E24=0," ",('t12'!D24)/$E24)</f>
        <v>22338</v>
      </c>
      <c r="J24" s="652">
        <f>IF($E24=0," ",'t12'!E24/$E24)</f>
        <v>0</v>
      </c>
      <c r="K24" s="652">
        <f>IF($E24=0," ",'t12'!F24/$E24)</f>
        <v>0</v>
      </c>
      <c r="L24" s="652">
        <f>IF($E24=0," ",'t12'!G24/$E24)</f>
        <v>2137</v>
      </c>
      <c r="M24" s="653">
        <f t="shared" si="0"/>
        <v>24475</v>
      </c>
      <c r="N24" s="654">
        <f>IF($E24=0," ",'t12'!H24/$E24)</f>
        <v>0</v>
      </c>
      <c r="O24" s="654">
        <f>IF($E24=0," ",'t12'!I24/$E24)</f>
        <v>0</v>
      </c>
      <c r="P24" s="652">
        <f>IF($E24=0," ",'t13'!V24/$E24)</f>
        <v>0</v>
      </c>
      <c r="Q24" s="652">
        <f>IF($E24=0," ",SUM('t13'!C24:J24)/$E24)</f>
        <v>11593</v>
      </c>
      <c r="R24" s="652">
        <f>IF($E24=0," ",(SUM('t13'!K24:S24)+'t13'!U24)/$E24)</f>
        <v>0</v>
      </c>
      <c r="S24" s="653">
        <f t="shared" si="1"/>
        <v>11593</v>
      </c>
      <c r="T24" s="654">
        <f>IF($E24=0," ",'t13'!T24/$E24)</f>
        <v>0</v>
      </c>
      <c r="V24"/>
      <c r="W24"/>
      <c r="X24"/>
      <c r="Y24"/>
    </row>
    <row r="25" spans="1:25" s="110" customFormat="1">
      <c r="A25" s="139" t="str">
        <f>'t1'!A25</f>
        <v>POSIZIONE ECONOMICA DI ACCESSO D1</v>
      </c>
      <c r="B25" s="318" t="str">
        <f>'t1'!B25</f>
        <v>057000</v>
      </c>
      <c r="C25" s="650">
        <f>'t1'!L25+'t1'!M25</f>
        <v>1</v>
      </c>
      <c r="D25" s="650">
        <f>('t1'!L25+'t1'!M25)-SUM('t3'!C25:F25,'t3'!I25:L25)+SUM('t3'!M25:P25)</f>
        <v>1</v>
      </c>
      <c r="E25" s="651">
        <f>'t12'!C25/12</f>
        <v>0.08</v>
      </c>
      <c r="F25" s="651">
        <f>IF($D25&gt;0,(('t11'!C27+'t11'!D27)/$D25)," ")</f>
        <v>0</v>
      </c>
      <c r="G25" s="651">
        <f>IF($D25&gt;0,(SUM('t11'!E27:N27)/$D25)," ")</f>
        <v>0</v>
      </c>
      <c r="H25" s="651">
        <f>IF($D25&gt;0,(SUM('t11'!O27:R27)/$D25)," ")</f>
        <v>0</v>
      </c>
      <c r="I25" s="652">
        <f>IF($E25=0," ",('t12'!D25)/$E25)</f>
        <v>20350</v>
      </c>
      <c r="J25" s="652">
        <f>IF($E25=0," ",'t12'!E25/$E25)</f>
        <v>0</v>
      </c>
      <c r="K25" s="652">
        <f>IF($E25=0," ",'t12'!F25/$E25)</f>
        <v>0</v>
      </c>
      <c r="L25" s="652">
        <f>IF($E25=0," ",'t12'!G25/$E25)</f>
        <v>1700</v>
      </c>
      <c r="M25" s="653">
        <f t="shared" si="0"/>
        <v>22050</v>
      </c>
      <c r="N25" s="654">
        <f>IF($E25=0," ",'t12'!H25/$E25)</f>
        <v>0</v>
      </c>
      <c r="O25" s="654">
        <f>IF($E25=0," ",'t12'!I25/$E25)</f>
        <v>0</v>
      </c>
      <c r="P25" s="652">
        <f>IF($E25=0," ",'t13'!V25/$E25)</f>
        <v>0</v>
      </c>
      <c r="Q25" s="652">
        <f>IF($E25=0," ",SUM('t13'!C25:J25)/$E25)</f>
        <v>750</v>
      </c>
      <c r="R25" s="652">
        <f>IF($E25=0," ",(SUM('t13'!K25:S25)+'t13'!U25)/$E25)</f>
        <v>0</v>
      </c>
      <c r="S25" s="653">
        <f t="shared" si="1"/>
        <v>750</v>
      </c>
      <c r="T25" s="654">
        <f>IF($E25=0," ",'t13'!T25/$E25)</f>
        <v>0</v>
      </c>
      <c r="V25"/>
      <c r="W25"/>
      <c r="X25"/>
      <c r="Y25"/>
    </row>
    <row r="26" spans="1:25" s="110" customFormat="1">
      <c r="A26" s="139" t="str">
        <f>'t1'!A26</f>
        <v>POSIZIONE ECONOMICA C5</v>
      </c>
      <c r="B26" s="318" t="str">
        <f>'t1'!B26</f>
        <v>046000</v>
      </c>
      <c r="C26" s="650">
        <f>'t1'!L26+'t1'!M26</f>
        <v>0</v>
      </c>
      <c r="D26" s="650">
        <f>('t1'!L26+'t1'!M26)-SUM('t3'!C26:F26,'t3'!I26:L26)+SUM('t3'!M26:P26)</f>
        <v>0</v>
      </c>
      <c r="E26" s="651">
        <f>'t12'!C26/12</f>
        <v>0</v>
      </c>
      <c r="F26" s="651" t="str">
        <f>IF($D26&gt;0,(('t11'!C28+'t11'!D28)/$D26)," ")</f>
        <v xml:space="preserve"> </v>
      </c>
      <c r="G26" s="651" t="str">
        <f>IF($D26&gt;0,(SUM('t11'!E28:N28)/$D26)," ")</f>
        <v xml:space="preserve"> </v>
      </c>
      <c r="H26" s="651" t="str">
        <f>IF($D26&gt;0,(SUM('t11'!O28:R28)/$D26)," ")</f>
        <v xml:space="preserve"> </v>
      </c>
      <c r="I26" s="652" t="str">
        <f>IF($E26=0," ",('t12'!D26)/$E26)</f>
        <v xml:space="preserve"> </v>
      </c>
      <c r="J26" s="652" t="str">
        <f>IF($E26=0," ",'t12'!E26/$E26)</f>
        <v xml:space="preserve"> </v>
      </c>
      <c r="K26" s="652" t="str">
        <f>IF($E26=0," ",'t12'!F26/$E26)</f>
        <v xml:space="preserve"> </v>
      </c>
      <c r="L26" s="652" t="str">
        <f>IF($E26=0," ",'t12'!G26/$E26)</f>
        <v xml:space="preserve"> </v>
      </c>
      <c r="M26" s="653">
        <f t="shared" si="0"/>
        <v>0</v>
      </c>
      <c r="N26" s="654" t="str">
        <f>IF($E26=0," ",'t12'!H26/$E26)</f>
        <v xml:space="preserve"> </v>
      </c>
      <c r="O26" s="654" t="str">
        <f>IF($E26=0," ",'t12'!I26/$E26)</f>
        <v xml:space="preserve"> </v>
      </c>
      <c r="P26" s="652" t="str">
        <f>IF($E26=0," ",'t13'!V26/$E26)</f>
        <v xml:space="preserve"> </v>
      </c>
      <c r="Q26" s="652" t="str">
        <f>IF($E26=0," ",SUM('t13'!C26:J26)/$E26)</f>
        <v xml:space="preserve"> </v>
      </c>
      <c r="R26" s="652" t="str">
        <f>IF($E26=0," ",(SUM('t13'!K26:S26)+'t13'!U26)/$E26)</f>
        <v xml:space="preserve"> </v>
      </c>
      <c r="S26" s="653">
        <f t="shared" si="1"/>
        <v>0</v>
      </c>
      <c r="T26" s="654" t="str">
        <f>IF($E26=0," ",'t13'!T26/$E26)</f>
        <v xml:space="preserve"> </v>
      </c>
      <c r="V26"/>
      <c r="W26"/>
      <c r="X26"/>
      <c r="Y26"/>
    </row>
    <row r="27" spans="1:25" s="110" customFormat="1">
      <c r="A27" s="139" t="str">
        <f>'t1'!A27</f>
        <v>POSIZIONE ECONOMICA C4</v>
      </c>
      <c r="B27" s="318" t="str">
        <f>'t1'!B27</f>
        <v>045000</v>
      </c>
      <c r="C27" s="650">
        <f>'t1'!L27+'t1'!M27</f>
        <v>0</v>
      </c>
      <c r="D27" s="650">
        <f>('t1'!L27+'t1'!M27)-SUM('t3'!C27:F27,'t3'!I27:L27)+SUM('t3'!M27:P27)</f>
        <v>0</v>
      </c>
      <c r="E27" s="651">
        <f>'t12'!C27/12</f>
        <v>0</v>
      </c>
      <c r="F27" s="651" t="str">
        <f>IF($D27&gt;0,(('t11'!C29+'t11'!D29)/$D27)," ")</f>
        <v xml:space="preserve"> </v>
      </c>
      <c r="G27" s="651" t="str">
        <f>IF($D27&gt;0,(SUM('t11'!E29:N29)/$D27)," ")</f>
        <v xml:space="preserve"> </v>
      </c>
      <c r="H27" s="651" t="str">
        <f>IF($D27&gt;0,(SUM('t11'!O29:R29)/$D27)," ")</f>
        <v xml:space="preserve"> </v>
      </c>
      <c r="I27" s="652" t="str">
        <f>IF($E27=0," ",('t12'!D27)/$E27)</f>
        <v xml:space="preserve"> </v>
      </c>
      <c r="J27" s="652" t="str">
        <f>IF($E27=0," ",'t12'!E27/$E27)</f>
        <v xml:space="preserve"> </v>
      </c>
      <c r="K27" s="652" t="str">
        <f>IF($E27=0," ",'t12'!F27/$E27)</f>
        <v xml:space="preserve"> </v>
      </c>
      <c r="L27" s="652" t="str">
        <f>IF($E27=0," ",'t12'!G27/$E27)</f>
        <v xml:space="preserve"> </v>
      </c>
      <c r="M27" s="653">
        <f t="shared" si="0"/>
        <v>0</v>
      </c>
      <c r="N27" s="654" t="str">
        <f>IF($E27=0," ",'t12'!H27/$E27)</f>
        <v xml:space="preserve"> </v>
      </c>
      <c r="O27" s="654" t="str">
        <f>IF($E27=0," ",'t12'!I27/$E27)</f>
        <v xml:space="preserve"> </v>
      </c>
      <c r="P27" s="652" t="str">
        <f>IF($E27=0," ",'t13'!V27/$E27)</f>
        <v xml:space="preserve"> </v>
      </c>
      <c r="Q27" s="652" t="str">
        <f>IF($E27=0," ",SUM('t13'!C27:J27)/$E27)</f>
        <v xml:space="preserve"> </v>
      </c>
      <c r="R27" s="652" t="str">
        <f>IF($E27=0," ",(SUM('t13'!K27:S27)+'t13'!U27)/$E27)</f>
        <v xml:space="preserve"> </v>
      </c>
      <c r="S27" s="653">
        <f t="shared" si="1"/>
        <v>0</v>
      </c>
      <c r="T27" s="654" t="str">
        <f>IF($E27=0," ",'t13'!T27/$E27)</f>
        <v xml:space="preserve"> </v>
      </c>
      <c r="V27"/>
      <c r="W27"/>
      <c r="X27"/>
      <c r="Y27"/>
    </row>
    <row r="28" spans="1:25" s="110" customFormat="1">
      <c r="A28" s="139" t="str">
        <f>'t1'!A28</f>
        <v>POSIZIONE ECONOMICA C3</v>
      </c>
      <c r="B28" s="318" t="str">
        <f>'t1'!B28</f>
        <v>043000</v>
      </c>
      <c r="C28" s="650">
        <f>'t1'!L28+'t1'!M28</f>
        <v>0</v>
      </c>
      <c r="D28" s="650">
        <f>('t1'!L28+'t1'!M28)-SUM('t3'!C28:F28,'t3'!I28:L28)+SUM('t3'!M28:P28)</f>
        <v>0</v>
      </c>
      <c r="E28" s="651">
        <f>'t12'!C28/12</f>
        <v>0</v>
      </c>
      <c r="F28" s="651" t="str">
        <f>IF($D28&gt;0,(('t11'!C30+'t11'!D30)/$D28)," ")</f>
        <v xml:space="preserve"> </v>
      </c>
      <c r="G28" s="651" t="str">
        <f>IF($D28&gt;0,(SUM('t11'!E30:N30)/$D28)," ")</f>
        <v xml:space="preserve"> </v>
      </c>
      <c r="H28" s="651" t="str">
        <f>IF($D28&gt;0,(SUM('t11'!O30:R30)/$D28)," ")</f>
        <v xml:space="preserve"> </v>
      </c>
      <c r="I28" s="652" t="str">
        <f>IF($E28=0," ",('t12'!D28)/$E28)</f>
        <v xml:space="preserve"> </v>
      </c>
      <c r="J28" s="652" t="str">
        <f>IF($E28=0," ",'t12'!E28/$E28)</f>
        <v xml:space="preserve"> </v>
      </c>
      <c r="K28" s="652" t="str">
        <f>IF($E28=0," ",'t12'!F28/$E28)</f>
        <v xml:space="preserve"> </v>
      </c>
      <c r="L28" s="652" t="str">
        <f>IF($E28=0," ",'t12'!G28/$E28)</f>
        <v xml:space="preserve"> </v>
      </c>
      <c r="M28" s="653">
        <f t="shared" si="0"/>
        <v>0</v>
      </c>
      <c r="N28" s="654" t="str">
        <f>IF($E28=0," ",'t12'!H28/$E28)</f>
        <v xml:space="preserve"> </v>
      </c>
      <c r="O28" s="654" t="str">
        <f>IF($E28=0," ",'t12'!I28/$E28)</f>
        <v xml:space="preserve"> </v>
      </c>
      <c r="P28" s="652" t="str">
        <f>IF($E28=0," ",'t13'!V28/$E28)</f>
        <v xml:space="preserve"> </v>
      </c>
      <c r="Q28" s="652" t="str">
        <f>IF($E28=0," ",SUM('t13'!C28:J28)/$E28)</f>
        <v xml:space="preserve"> </v>
      </c>
      <c r="R28" s="652" t="str">
        <f>IF($E28=0," ",(SUM('t13'!K28:S28)+'t13'!U28)/$E28)</f>
        <v xml:space="preserve"> </v>
      </c>
      <c r="S28" s="653">
        <f t="shared" si="1"/>
        <v>0</v>
      </c>
      <c r="T28" s="654" t="str">
        <f>IF($E28=0," ",'t13'!T28/$E28)</f>
        <v xml:space="preserve"> </v>
      </c>
      <c r="V28"/>
      <c r="W28"/>
      <c r="X28"/>
      <c r="Y28"/>
    </row>
    <row r="29" spans="1:25" s="110" customFormat="1">
      <c r="A29" s="139" t="str">
        <f>'t1'!A29</f>
        <v>POSIZIONE ECONOMICA C2</v>
      </c>
      <c r="B29" s="318" t="str">
        <f>'t1'!B29</f>
        <v>042000</v>
      </c>
      <c r="C29" s="650">
        <f>'t1'!L29+'t1'!M29</f>
        <v>1</v>
      </c>
      <c r="D29" s="650">
        <f>('t1'!L29+'t1'!M29)-SUM('t3'!C29:F29,'t3'!I29:L29)+SUM('t3'!M29:P29)</f>
        <v>1</v>
      </c>
      <c r="E29" s="651">
        <f>'t12'!C29/12</f>
        <v>1</v>
      </c>
      <c r="F29" s="651">
        <f>IF($D29&gt;0,(('t11'!C31+'t11'!D31)/$D29)," ")</f>
        <v>34</v>
      </c>
      <c r="G29" s="651">
        <f>IF($D29&gt;0,(SUM('t11'!E31:N31)/$D29)," ")</f>
        <v>2</v>
      </c>
      <c r="H29" s="651">
        <f>IF($D29&gt;0,(SUM('t11'!O31:R31)/$D29)," ")</f>
        <v>0</v>
      </c>
      <c r="I29" s="652">
        <f>IF($E29=0," ",('t12'!D29)/$E29)</f>
        <v>19918</v>
      </c>
      <c r="J29" s="652">
        <f>IF($E29=0," ",'t12'!E29/$E29)</f>
        <v>0</v>
      </c>
      <c r="K29" s="652">
        <f>IF($E29=0," ",'t12'!F29/$E29)</f>
        <v>0</v>
      </c>
      <c r="L29" s="652">
        <f>IF($E29=0," ",'t12'!G29/$E29)</f>
        <v>1672</v>
      </c>
      <c r="M29" s="653">
        <f t="shared" si="0"/>
        <v>21590</v>
      </c>
      <c r="N29" s="654">
        <f>IF($E29=0," ",'t12'!H29/$E29)</f>
        <v>0</v>
      </c>
      <c r="O29" s="654">
        <f>IF($E29=0," ",'t12'!I29/$E29)</f>
        <v>0</v>
      </c>
      <c r="P29" s="652">
        <f>IF($E29=0," ",'t13'!V29/$E29)</f>
        <v>218</v>
      </c>
      <c r="Q29" s="652">
        <f>IF($E29=0," ",SUM('t13'!C29:J29)/$E29)</f>
        <v>1799</v>
      </c>
      <c r="R29" s="652">
        <f>IF($E29=0," ",(SUM('t13'!K29:S29)+'t13'!U29)/$E29)</f>
        <v>0</v>
      </c>
      <c r="S29" s="653">
        <f t="shared" si="1"/>
        <v>2017</v>
      </c>
      <c r="T29" s="654">
        <f>IF($E29=0," ",'t13'!T29/$E29)</f>
        <v>0</v>
      </c>
      <c r="V29"/>
      <c r="W29"/>
      <c r="X29"/>
      <c r="Y29"/>
    </row>
    <row r="30" spans="1:25" s="110" customFormat="1">
      <c r="A30" s="139" t="str">
        <f>'t1'!A30</f>
        <v>POSIZIONE ECONOMICA DI ACCESSO C1</v>
      </c>
      <c r="B30" s="318" t="str">
        <f>'t1'!B30</f>
        <v>056000</v>
      </c>
      <c r="C30" s="650">
        <f>'t1'!L30+'t1'!M30</f>
        <v>2</v>
      </c>
      <c r="D30" s="650">
        <f>('t1'!L30+'t1'!M30)-SUM('t3'!C30:F30,'t3'!I30:L30)+SUM('t3'!M30:P30)</f>
        <v>1</v>
      </c>
      <c r="E30" s="651">
        <f>'t12'!C30/12</f>
        <v>1.3</v>
      </c>
      <c r="F30" s="651">
        <f>IF($D30&gt;0,(('t11'!C32+'t11'!D32)/$D30)," ")</f>
        <v>52</v>
      </c>
      <c r="G30" s="651">
        <f>IF($D30&gt;0,(SUM('t11'!E32:N32)/$D30)," ")</f>
        <v>38</v>
      </c>
      <c r="H30" s="651">
        <f>IF($D30&gt;0,(SUM('t11'!O32:R32)/$D30)," ")</f>
        <v>0</v>
      </c>
      <c r="I30" s="652">
        <f>IF($E30=0," ",('t12'!D30)/$E30)</f>
        <v>19409</v>
      </c>
      <c r="J30" s="652">
        <f>IF($E30=0," ",'t12'!E30/$E30)</f>
        <v>0</v>
      </c>
      <c r="K30" s="652">
        <f>IF($E30=0," ",'t12'!F30/$E30)</f>
        <v>0</v>
      </c>
      <c r="L30" s="652">
        <f>IF($E30=0," ",'t12'!G30/$E30)</f>
        <v>1592</v>
      </c>
      <c r="M30" s="653">
        <f t="shared" si="0"/>
        <v>21001</v>
      </c>
      <c r="N30" s="654">
        <f>IF($E30=0," ",'t12'!H30/$E30)</f>
        <v>0</v>
      </c>
      <c r="O30" s="654">
        <f>IF($E30=0," ",'t12'!I30/$E30)</f>
        <v>0</v>
      </c>
      <c r="P30" s="652">
        <f>IF($E30=0," ",'t13'!V30/$E30)</f>
        <v>189</v>
      </c>
      <c r="Q30" s="652">
        <f>IF($E30=0," ",SUM('t13'!C30:J30)/$E30)</f>
        <v>687</v>
      </c>
      <c r="R30" s="652">
        <f>IF($E30=0," ",(SUM('t13'!K30:S30)+'t13'!U30)/$E30)</f>
        <v>0</v>
      </c>
      <c r="S30" s="653">
        <f t="shared" si="1"/>
        <v>876</v>
      </c>
      <c r="T30" s="654">
        <f>IF($E30=0," ",'t13'!T30/$E30)</f>
        <v>0</v>
      </c>
      <c r="V30"/>
      <c r="W30"/>
      <c r="X30"/>
      <c r="Y30"/>
    </row>
    <row r="31" spans="1:25" s="110" customFormat="1">
      <c r="A31" s="139" t="str">
        <f>'t1'!A31</f>
        <v>POSIZ. ECON. B7 - PROFILO ACCESSO B3</v>
      </c>
      <c r="B31" s="318" t="str">
        <f>'t1'!B31</f>
        <v>0B7A00</v>
      </c>
      <c r="C31" s="650">
        <f>'t1'!L31+'t1'!M31</f>
        <v>0</v>
      </c>
      <c r="D31" s="650">
        <f>('t1'!L31+'t1'!M31)-SUM('t3'!C31:F31,'t3'!I31:L31)+SUM('t3'!M31:P31)</f>
        <v>0</v>
      </c>
      <c r="E31" s="651">
        <f>'t12'!C31/12</f>
        <v>0</v>
      </c>
      <c r="F31" s="651" t="str">
        <f>IF($D31&gt;0,(('t11'!C33+'t11'!D33)/$D31)," ")</f>
        <v xml:space="preserve"> </v>
      </c>
      <c r="G31" s="651" t="str">
        <f>IF($D31&gt;0,(SUM('t11'!E33:N33)/$D31)," ")</f>
        <v xml:space="preserve"> </v>
      </c>
      <c r="H31" s="651" t="str">
        <f>IF($D31&gt;0,(SUM('t11'!O33:R33)/$D31)," ")</f>
        <v xml:space="preserve"> </v>
      </c>
      <c r="I31" s="652" t="str">
        <f>IF($E31=0," ",('t12'!D31)/$E31)</f>
        <v xml:space="preserve"> </v>
      </c>
      <c r="J31" s="652" t="str">
        <f>IF($E31=0," ",'t12'!E31/$E31)</f>
        <v xml:space="preserve"> </v>
      </c>
      <c r="K31" s="652" t="str">
        <f>IF($E31=0," ",'t12'!F31/$E31)</f>
        <v xml:space="preserve"> </v>
      </c>
      <c r="L31" s="652" t="str">
        <f>IF($E31=0," ",'t12'!G31/$E31)</f>
        <v xml:space="preserve"> </v>
      </c>
      <c r="M31" s="653">
        <f t="shared" si="0"/>
        <v>0</v>
      </c>
      <c r="N31" s="654" t="str">
        <f>IF($E31=0," ",'t12'!H31/$E31)</f>
        <v xml:space="preserve"> </v>
      </c>
      <c r="O31" s="654" t="str">
        <f>IF($E31=0," ",'t12'!I31/$E31)</f>
        <v xml:space="preserve"> </v>
      </c>
      <c r="P31" s="652" t="str">
        <f>IF($E31=0," ",'t13'!V31/$E31)</f>
        <v xml:space="preserve"> </v>
      </c>
      <c r="Q31" s="652" t="str">
        <f>IF($E31=0," ",SUM('t13'!C31:J31)/$E31)</f>
        <v xml:space="preserve"> </v>
      </c>
      <c r="R31" s="652" t="str">
        <f>IF($E31=0," ",(SUM('t13'!K31:S31)+'t13'!U31)/$E31)</f>
        <v xml:space="preserve"> </v>
      </c>
      <c r="S31" s="653">
        <f t="shared" si="1"/>
        <v>0</v>
      </c>
      <c r="T31" s="654" t="str">
        <f>IF($E31=0," ",'t13'!T31/$E31)</f>
        <v xml:space="preserve"> </v>
      </c>
      <c r="V31"/>
      <c r="W31"/>
      <c r="X31"/>
      <c r="Y31"/>
    </row>
    <row r="32" spans="1:25" s="110" customFormat="1">
      <c r="A32" s="139" t="str">
        <f>'t1'!A32</f>
        <v>POSIZ. ECON. B7 - PROFILO  ACCESSO B1</v>
      </c>
      <c r="B32" s="318" t="str">
        <f>'t1'!B32</f>
        <v>0B7000</v>
      </c>
      <c r="C32" s="650">
        <f>'t1'!L32+'t1'!M32</f>
        <v>0</v>
      </c>
      <c r="D32" s="650">
        <f>('t1'!L32+'t1'!M32)-SUM('t3'!C32:F32,'t3'!I32:L32)+SUM('t3'!M32:P32)</f>
        <v>0</v>
      </c>
      <c r="E32" s="651">
        <f>'t12'!C32/12</f>
        <v>0</v>
      </c>
      <c r="F32" s="651" t="str">
        <f>IF($D32&gt;0,(('t11'!C34+'t11'!D34)/$D32)," ")</f>
        <v xml:space="preserve"> </v>
      </c>
      <c r="G32" s="651" t="str">
        <f>IF($D32&gt;0,(SUM('t11'!E34:N34)/$D32)," ")</f>
        <v xml:space="preserve"> </v>
      </c>
      <c r="H32" s="651" t="str">
        <f>IF($D32&gt;0,(SUM('t11'!O34:R34)/$D32)," ")</f>
        <v xml:space="preserve"> </v>
      </c>
      <c r="I32" s="652" t="str">
        <f>IF($E32=0," ",('t12'!D32)/$E32)</f>
        <v xml:space="preserve"> </v>
      </c>
      <c r="J32" s="652" t="str">
        <f>IF($E32=0," ",'t12'!E32/$E32)</f>
        <v xml:space="preserve"> </v>
      </c>
      <c r="K32" s="652" t="str">
        <f>IF($E32=0," ",'t12'!F32/$E32)</f>
        <v xml:space="preserve"> </v>
      </c>
      <c r="L32" s="652" t="str">
        <f>IF($E32=0," ",'t12'!G32/$E32)</f>
        <v xml:space="preserve"> </v>
      </c>
      <c r="M32" s="653">
        <f t="shared" si="0"/>
        <v>0</v>
      </c>
      <c r="N32" s="654" t="str">
        <f>IF($E32=0," ",'t12'!H32/$E32)</f>
        <v xml:space="preserve"> </v>
      </c>
      <c r="O32" s="654" t="str">
        <f>IF($E32=0," ",'t12'!I32/$E32)</f>
        <v xml:space="preserve"> </v>
      </c>
      <c r="P32" s="652" t="str">
        <f>IF($E32=0," ",'t13'!V32/$E32)</f>
        <v xml:space="preserve"> </v>
      </c>
      <c r="Q32" s="652" t="str">
        <f>IF($E32=0," ",SUM('t13'!C32:J32)/$E32)</f>
        <v xml:space="preserve"> </v>
      </c>
      <c r="R32" s="652" t="str">
        <f>IF($E32=0," ",(SUM('t13'!K32:S32)+'t13'!U32)/$E32)</f>
        <v xml:space="preserve"> </v>
      </c>
      <c r="S32" s="653">
        <f t="shared" si="1"/>
        <v>0</v>
      </c>
      <c r="T32" s="654" t="str">
        <f>IF($E32=0," ",'t13'!T32/$E32)</f>
        <v xml:space="preserve"> </v>
      </c>
      <c r="V32"/>
      <c r="W32"/>
      <c r="X32"/>
      <c r="Y32"/>
    </row>
    <row r="33" spans="1:25" s="110" customFormat="1">
      <c r="A33" s="139" t="str">
        <f>'t1'!A33</f>
        <v>POSIZ. ECON. B6 PROFILI ACCESSO B3</v>
      </c>
      <c r="B33" s="318" t="str">
        <f>'t1'!B33</f>
        <v>038490</v>
      </c>
      <c r="C33" s="650">
        <f>'t1'!L33+'t1'!M33</f>
        <v>0</v>
      </c>
      <c r="D33" s="650">
        <f>('t1'!L33+'t1'!M33)-SUM('t3'!C33:F33,'t3'!I33:L33)+SUM('t3'!M33:P33)</f>
        <v>0</v>
      </c>
      <c r="E33" s="651">
        <f>'t12'!C33/12</f>
        <v>0</v>
      </c>
      <c r="F33" s="651" t="str">
        <f>IF($D33&gt;0,(('t11'!C35+'t11'!D35)/$D33)," ")</f>
        <v xml:space="preserve"> </v>
      </c>
      <c r="G33" s="651" t="str">
        <f>IF($D33&gt;0,(SUM('t11'!E35:N35)/$D33)," ")</f>
        <v xml:space="preserve"> </v>
      </c>
      <c r="H33" s="651" t="str">
        <f>IF($D33&gt;0,(SUM('t11'!O35:R35)/$D33)," ")</f>
        <v xml:space="preserve"> </v>
      </c>
      <c r="I33" s="652" t="str">
        <f>IF($E33=0," ",('t12'!D33)/$E33)</f>
        <v xml:space="preserve"> </v>
      </c>
      <c r="J33" s="652" t="str">
        <f>IF($E33=0," ",'t12'!E33/$E33)</f>
        <v xml:space="preserve"> </v>
      </c>
      <c r="K33" s="652" t="str">
        <f>IF($E33=0," ",'t12'!F33/$E33)</f>
        <v xml:space="preserve"> </v>
      </c>
      <c r="L33" s="652" t="str">
        <f>IF($E33=0," ",'t12'!G33/$E33)</f>
        <v xml:space="preserve"> </v>
      </c>
      <c r="M33" s="653">
        <f t="shared" si="0"/>
        <v>0</v>
      </c>
      <c r="N33" s="654" t="str">
        <f>IF($E33=0," ",'t12'!H33/$E33)</f>
        <v xml:space="preserve"> </v>
      </c>
      <c r="O33" s="654" t="str">
        <f>IF($E33=0," ",'t12'!I33/$E33)</f>
        <v xml:space="preserve"> </v>
      </c>
      <c r="P33" s="652" t="str">
        <f>IF($E33=0," ",'t13'!V33/$E33)</f>
        <v xml:space="preserve"> </v>
      </c>
      <c r="Q33" s="652" t="str">
        <f>IF($E33=0," ",SUM('t13'!C33:J33)/$E33)</f>
        <v xml:space="preserve"> </v>
      </c>
      <c r="R33" s="652" t="str">
        <f>IF($E33=0," ",(SUM('t13'!K33:S33)+'t13'!U33)/$E33)</f>
        <v xml:space="preserve"> </v>
      </c>
      <c r="S33" s="653">
        <f t="shared" si="1"/>
        <v>0</v>
      </c>
      <c r="T33" s="654" t="str">
        <f>IF($E33=0," ",'t13'!T33/$E33)</f>
        <v xml:space="preserve"> </v>
      </c>
      <c r="V33"/>
      <c r="W33"/>
      <c r="X33"/>
      <c r="Y33"/>
    </row>
    <row r="34" spans="1:25" s="110" customFormat="1">
      <c r="A34" s="139" t="str">
        <f>'t1'!A34</f>
        <v>POSIZ. ECON. B6 PROFILI ACCESSO B1</v>
      </c>
      <c r="B34" s="318" t="str">
        <f>'t1'!B34</f>
        <v>038491</v>
      </c>
      <c r="C34" s="650">
        <f>'t1'!L34+'t1'!M34</f>
        <v>0</v>
      </c>
      <c r="D34" s="650">
        <f>('t1'!L34+'t1'!M34)-SUM('t3'!C34:F34,'t3'!I34:L34)+SUM('t3'!M34:P34)</f>
        <v>0</v>
      </c>
      <c r="E34" s="651">
        <f>'t12'!C34/12</f>
        <v>0</v>
      </c>
      <c r="F34" s="651" t="str">
        <f>IF($D34&gt;0,(('t11'!C36+'t11'!D36)/$D34)," ")</f>
        <v xml:space="preserve"> </v>
      </c>
      <c r="G34" s="651" t="str">
        <f>IF($D34&gt;0,(SUM('t11'!E36:N36)/$D34)," ")</f>
        <v xml:space="preserve"> </v>
      </c>
      <c r="H34" s="651" t="str">
        <f>IF($D34&gt;0,(SUM('t11'!O36:R36)/$D34)," ")</f>
        <v xml:space="preserve"> </v>
      </c>
      <c r="I34" s="652" t="str">
        <f>IF($E34=0," ",('t12'!D34)/$E34)</f>
        <v xml:space="preserve"> </v>
      </c>
      <c r="J34" s="652" t="str">
        <f>IF($E34=0," ",'t12'!E34/$E34)</f>
        <v xml:space="preserve"> </v>
      </c>
      <c r="K34" s="652" t="str">
        <f>IF($E34=0," ",'t12'!F34/$E34)</f>
        <v xml:space="preserve"> </v>
      </c>
      <c r="L34" s="652" t="str">
        <f>IF($E34=0," ",'t12'!G34/$E34)</f>
        <v xml:space="preserve"> </v>
      </c>
      <c r="M34" s="653">
        <f t="shared" si="0"/>
        <v>0</v>
      </c>
      <c r="N34" s="654" t="str">
        <f>IF($E34=0," ",'t12'!H34/$E34)</f>
        <v xml:space="preserve"> </v>
      </c>
      <c r="O34" s="654" t="str">
        <f>IF($E34=0," ",'t12'!I34/$E34)</f>
        <v xml:space="preserve"> </v>
      </c>
      <c r="P34" s="652" t="str">
        <f>IF($E34=0," ",'t13'!V34/$E34)</f>
        <v xml:space="preserve"> </v>
      </c>
      <c r="Q34" s="652" t="str">
        <f>IF($E34=0," ",SUM('t13'!C34:J34)/$E34)</f>
        <v xml:space="preserve"> </v>
      </c>
      <c r="R34" s="652" t="str">
        <f>IF($E34=0," ",(SUM('t13'!K34:S34)+'t13'!U34)/$E34)</f>
        <v xml:space="preserve"> </v>
      </c>
      <c r="S34" s="653">
        <f t="shared" si="1"/>
        <v>0</v>
      </c>
      <c r="T34" s="654" t="str">
        <f>IF($E34=0," ",'t13'!T34/$E34)</f>
        <v xml:space="preserve"> </v>
      </c>
      <c r="V34"/>
      <c r="W34"/>
      <c r="X34"/>
      <c r="Y34"/>
    </row>
    <row r="35" spans="1:25" s="110" customFormat="1">
      <c r="A35" s="139" t="str">
        <f>'t1'!A35</f>
        <v>POSIZ. ECON. B5 PROFILI ACCESSO B3</v>
      </c>
      <c r="B35" s="318" t="str">
        <f>'t1'!B35</f>
        <v>037492</v>
      </c>
      <c r="C35" s="650">
        <f>'t1'!L35+'t1'!M35</f>
        <v>0</v>
      </c>
      <c r="D35" s="650">
        <f>('t1'!L35+'t1'!M35)-SUM('t3'!C35:F35,'t3'!I35:L35)+SUM('t3'!M35:P35)</f>
        <v>0</v>
      </c>
      <c r="E35" s="651">
        <f>'t12'!C35/12</f>
        <v>0</v>
      </c>
      <c r="F35" s="651" t="str">
        <f>IF($D35&gt;0,(('t11'!C37+'t11'!D37)/$D35)," ")</f>
        <v xml:space="preserve"> </v>
      </c>
      <c r="G35" s="651" t="str">
        <f>IF($D35&gt;0,(SUM('t11'!E37:N37)/$D35)," ")</f>
        <v xml:space="preserve"> </v>
      </c>
      <c r="H35" s="651" t="str">
        <f>IF($D35&gt;0,(SUM('t11'!O37:R37)/$D35)," ")</f>
        <v xml:space="preserve"> </v>
      </c>
      <c r="I35" s="652" t="str">
        <f>IF($E35=0," ",('t12'!D35)/$E35)</f>
        <v xml:space="preserve"> </v>
      </c>
      <c r="J35" s="652" t="str">
        <f>IF($E35=0," ",'t12'!E35/$E35)</f>
        <v xml:space="preserve"> </v>
      </c>
      <c r="K35" s="652" t="str">
        <f>IF($E35=0," ",'t12'!F35/$E35)</f>
        <v xml:space="preserve"> </v>
      </c>
      <c r="L35" s="652" t="str">
        <f>IF($E35=0," ",'t12'!G35/$E35)</f>
        <v xml:space="preserve"> </v>
      </c>
      <c r="M35" s="653">
        <f t="shared" si="0"/>
        <v>0</v>
      </c>
      <c r="N35" s="654" t="str">
        <f>IF($E35=0," ",'t12'!H35/$E35)</f>
        <v xml:space="preserve"> </v>
      </c>
      <c r="O35" s="654" t="str">
        <f>IF($E35=0," ",'t12'!I35/$E35)</f>
        <v xml:space="preserve"> </v>
      </c>
      <c r="P35" s="652" t="str">
        <f>IF($E35=0," ",'t13'!V35/$E35)</f>
        <v xml:space="preserve"> </v>
      </c>
      <c r="Q35" s="652" t="str">
        <f>IF($E35=0," ",SUM('t13'!C35:J35)/$E35)</f>
        <v xml:space="preserve"> </v>
      </c>
      <c r="R35" s="652" t="str">
        <f>IF($E35=0," ",(SUM('t13'!K35:S35)+'t13'!U35)/$E35)</f>
        <v xml:space="preserve"> </v>
      </c>
      <c r="S35" s="653">
        <f t="shared" si="1"/>
        <v>0</v>
      </c>
      <c r="T35" s="654" t="str">
        <f>IF($E35=0," ",'t13'!T35/$E35)</f>
        <v xml:space="preserve"> </v>
      </c>
      <c r="V35"/>
      <c r="W35"/>
      <c r="X35"/>
      <c r="Y35"/>
    </row>
    <row r="36" spans="1:25" s="110" customFormat="1">
      <c r="A36" s="139" t="str">
        <f>'t1'!A36</f>
        <v>POSIZ. ECON. B5 PROFILI ACCESSO B1</v>
      </c>
      <c r="B36" s="318" t="str">
        <f>'t1'!B36</f>
        <v>037493</v>
      </c>
      <c r="C36" s="650">
        <f>'t1'!L36+'t1'!M36</f>
        <v>0</v>
      </c>
      <c r="D36" s="650">
        <f>('t1'!L36+'t1'!M36)-SUM('t3'!C36:F36,'t3'!I36:L36)+SUM('t3'!M36:P36)</f>
        <v>0</v>
      </c>
      <c r="E36" s="651">
        <f>'t12'!C36/12</f>
        <v>0</v>
      </c>
      <c r="F36" s="651" t="str">
        <f>IF($D36&gt;0,(('t11'!C38+'t11'!D38)/$D36)," ")</f>
        <v xml:space="preserve"> </v>
      </c>
      <c r="G36" s="651" t="str">
        <f>IF($D36&gt;0,(SUM('t11'!E38:N38)/$D36)," ")</f>
        <v xml:space="preserve"> </v>
      </c>
      <c r="H36" s="651" t="str">
        <f>IF($D36&gt;0,(SUM('t11'!O38:R38)/$D36)," ")</f>
        <v xml:space="preserve"> </v>
      </c>
      <c r="I36" s="652" t="str">
        <f>IF($E36=0," ",('t12'!D36)/$E36)</f>
        <v xml:space="preserve"> </v>
      </c>
      <c r="J36" s="652" t="str">
        <f>IF($E36=0," ",'t12'!E36/$E36)</f>
        <v xml:space="preserve"> </v>
      </c>
      <c r="K36" s="652" t="str">
        <f>IF($E36=0," ",'t12'!F36/$E36)</f>
        <v xml:space="preserve"> </v>
      </c>
      <c r="L36" s="652" t="str">
        <f>IF($E36=0," ",'t12'!G36/$E36)</f>
        <v xml:space="preserve"> </v>
      </c>
      <c r="M36" s="653">
        <f t="shared" si="0"/>
        <v>0</v>
      </c>
      <c r="N36" s="654" t="str">
        <f>IF($E36=0," ",'t12'!H36/$E36)</f>
        <v xml:space="preserve"> </v>
      </c>
      <c r="O36" s="654" t="str">
        <f>IF($E36=0," ",'t12'!I36/$E36)</f>
        <v xml:space="preserve"> </v>
      </c>
      <c r="P36" s="652" t="str">
        <f>IF($E36=0," ",'t13'!V36/$E36)</f>
        <v xml:space="preserve"> </v>
      </c>
      <c r="Q36" s="652" t="str">
        <f>IF($E36=0," ",SUM('t13'!C36:J36)/$E36)</f>
        <v xml:space="preserve"> </v>
      </c>
      <c r="R36" s="652" t="str">
        <f>IF($E36=0," ",(SUM('t13'!K36:S36)+'t13'!U36)/$E36)</f>
        <v xml:space="preserve"> </v>
      </c>
      <c r="S36" s="653">
        <f t="shared" si="1"/>
        <v>0</v>
      </c>
      <c r="T36" s="654" t="str">
        <f>IF($E36=0," ",'t13'!T36/$E36)</f>
        <v xml:space="preserve"> </v>
      </c>
      <c r="V36"/>
      <c r="W36"/>
      <c r="X36"/>
      <c r="Y36"/>
    </row>
    <row r="37" spans="1:25" s="110" customFormat="1">
      <c r="A37" s="139" t="str">
        <f>'t1'!A37</f>
        <v>POSIZ. ECON. B4 PROFILI ACCESSO B3</v>
      </c>
      <c r="B37" s="318" t="str">
        <f>'t1'!B37</f>
        <v>036494</v>
      </c>
      <c r="C37" s="650">
        <f>'t1'!L37+'t1'!M37</f>
        <v>0</v>
      </c>
      <c r="D37" s="650">
        <f>('t1'!L37+'t1'!M37)-SUM('t3'!C37:F37,'t3'!I37:L37)+SUM('t3'!M37:P37)</f>
        <v>0</v>
      </c>
      <c r="E37" s="651">
        <f>'t12'!C37/12</f>
        <v>0</v>
      </c>
      <c r="F37" s="651" t="str">
        <f>IF($D37&gt;0,(('t11'!C39+'t11'!D39)/$D37)," ")</f>
        <v xml:space="preserve"> </v>
      </c>
      <c r="G37" s="651" t="str">
        <f>IF($D37&gt;0,(SUM('t11'!E39:N39)/$D37)," ")</f>
        <v xml:space="preserve"> </v>
      </c>
      <c r="H37" s="651" t="str">
        <f>IF($D37&gt;0,(SUM('t11'!O39:R39)/$D37)," ")</f>
        <v xml:space="preserve"> </v>
      </c>
      <c r="I37" s="652" t="str">
        <f>IF($E37=0," ",('t12'!D37)/$E37)</f>
        <v xml:space="preserve"> </v>
      </c>
      <c r="J37" s="652" t="str">
        <f>IF($E37=0," ",'t12'!E37/$E37)</f>
        <v xml:space="preserve"> </v>
      </c>
      <c r="K37" s="652" t="str">
        <f>IF($E37=0," ",'t12'!F37/$E37)</f>
        <v xml:space="preserve"> </v>
      </c>
      <c r="L37" s="652" t="str">
        <f>IF($E37=0," ",'t12'!G37/$E37)</f>
        <v xml:space="preserve"> </v>
      </c>
      <c r="M37" s="653">
        <f t="shared" si="0"/>
        <v>0</v>
      </c>
      <c r="N37" s="654" t="str">
        <f>IF($E37=0," ",'t12'!H37/$E37)</f>
        <v xml:space="preserve"> </v>
      </c>
      <c r="O37" s="654" t="str">
        <f>IF($E37=0," ",'t12'!I37/$E37)</f>
        <v xml:space="preserve"> </v>
      </c>
      <c r="P37" s="652" t="str">
        <f>IF($E37=0," ",'t13'!V37/$E37)</f>
        <v xml:space="preserve"> </v>
      </c>
      <c r="Q37" s="652" t="str">
        <f>IF($E37=0," ",SUM('t13'!C37:J37)/$E37)</f>
        <v xml:space="preserve"> </v>
      </c>
      <c r="R37" s="652" t="str">
        <f>IF($E37=0," ",(SUM('t13'!K37:S37)+'t13'!U37)/$E37)</f>
        <v xml:space="preserve"> </v>
      </c>
      <c r="S37" s="653">
        <f t="shared" si="1"/>
        <v>0</v>
      </c>
      <c r="T37" s="654" t="str">
        <f>IF($E37=0," ",'t13'!T37/$E37)</f>
        <v xml:space="preserve"> </v>
      </c>
      <c r="V37"/>
      <c r="W37"/>
      <c r="X37"/>
      <c r="Y37"/>
    </row>
    <row r="38" spans="1:25" s="110" customFormat="1">
      <c r="A38" s="139" t="str">
        <f>'t1'!A38</f>
        <v>POSIZ. ECON. B4 PROFILI ACCESSO B1</v>
      </c>
      <c r="B38" s="318" t="str">
        <f>'t1'!B38</f>
        <v>036495</v>
      </c>
      <c r="C38" s="650">
        <f>'t1'!L38+'t1'!M38</f>
        <v>0</v>
      </c>
      <c r="D38" s="650">
        <f>('t1'!L38+'t1'!M38)-SUM('t3'!C38:F38,'t3'!I38:L38)+SUM('t3'!M38:P38)</f>
        <v>0</v>
      </c>
      <c r="E38" s="651">
        <f>'t12'!C38/12</f>
        <v>0</v>
      </c>
      <c r="F38" s="651" t="str">
        <f>IF($D38&gt;0,(('t11'!C40+'t11'!D40)/$D38)," ")</f>
        <v xml:space="preserve"> </v>
      </c>
      <c r="G38" s="651" t="str">
        <f>IF($D38&gt;0,(SUM('t11'!E40:N40)/$D38)," ")</f>
        <v xml:space="preserve"> </v>
      </c>
      <c r="H38" s="651" t="str">
        <f>IF($D38&gt;0,(SUM('t11'!O40:R40)/$D38)," ")</f>
        <v xml:space="preserve"> </v>
      </c>
      <c r="I38" s="652" t="str">
        <f>IF($E38=0," ",('t12'!D38)/$E38)</f>
        <v xml:space="preserve"> </v>
      </c>
      <c r="J38" s="652" t="str">
        <f>IF($E38=0," ",'t12'!E38/$E38)</f>
        <v xml:space="preserve"> </v>
      </c>
      <c r="K38" s="652" t="str">
        <f>IF($E38=0," ",'t12'!F38/$E38)</f>
        <v xml:space="preserve"> </v>
      </c>
      <c r="L38" s="652" t="str">
        <f>IF($E38=0," ",'t12'!G38/$E38)</f>
        <v xml:space="preserve"> </v>
      </c>
      <c r="M38" s="653">
        <f t="shared" si="0"/>
        <v>0</v>
      </c>
      <c r="N38" s="654" t="str">
        <f>IF($E38=0," ",'t12'!H38/$E38)</f>
        <v xml:space="preserve"> </v>
      </c>
      <c r="O38" s="654" t="str">
        <f>IF($E38=0," ",'t12'!I38/$E38)</f>
        <v xml:space="preserve"> </v>
      </c>
      <c r="P38" s="652" t="str">
        <f>IF($E38=0," ",'t13'!V38/$E38)</f>
        <v xml:space="preserve"> </v>
      </c>
      <c r="Q38" s="652" t="str">
        <f>IF($E38=0," ",SUM('t13'!C38:J38)/$E38)</f>
        <v xml:space="preserve"> </v>
      </c>
      <c r="R38" s="652" t="str">
        <f>IF($E38=0," ",(SUM('t13'!K38:S38)+'t13'!U38)/$E38)</f>
        <v xml:space="preserve"> </v>
      </c>
      <c r="S38" s="653">
        <f t="shared" si="1"/>
        <v>0</v>
      </c>
      <c r="T38" s="654" t="str">
        <f>IF($E38=0," ",'t13'!T38/$E38)</f>
        <v xml:space="preserve"> </v>
      </c>
      <c r="V38"/>
      <c r="W38"/>
      <c r="X38"/>
      <c r="Y38"/>
    </row>
    <row r="39" spans="1:25" s="110" customFormat="1">
      <c r="A39" s="139" t="str">
        <f>'t1'!A39</f>
        <v>POSIZIONE ECONOMICA DI ACCESSO B3</v>
      </c>
      <c r="B39" s="318" t="str">
        <f>'t1'!B39</f>
        <v>055000</v>
      </c>
      <c r="C39" s="650">
        <f>'t1'!L39+'t1'!M39</f>
        <v>0</v>
      </c>
      <c r="D39" s="650">
        <f>('t1'!L39+'t1'!M39)-SUM('t3'!C39:F39,'t3'!I39:L39)+SUM('t3'!M39:P39)</f>
        <v>0</v>
      </c>
      <c r="E39" s="651">
        <f>'t12'!C39/12</f>
        <v>0</v>
      </c>
      <c r="F39" s="651" t="str">
        <f>IF($D39&gt;0,(('t11'!C41+'t11'!D41)/$D39)," ")</f>
        <v xml:space="preserve"> </v>
      </c>
      <c r="G39" s="651" t="str">
        <f>IF($D39&gt;0,(SUM('t11'!E41:N41)/$D39)," ")</f>
        <v xml:space="preserve"> </v>
      </c>
      <c r="H39" s="651" t="str">
        <f>IF($D39&gt;0,(SUM('t11'!O41:R41)/$D39)," ")</f>
        <v xml:space="preserve"> </v>
      </c>
      <c r="I39" s="652" t="str">
        <f>IF($E39=0," ",('t12'!D39)/$E39)</f>
        <v xml:space="preserve"> </v>
      </c>
      <c r="J39" s="652" t="str">
        <f>IF($E39=0," ",'t12'!E39/$E39)</f>
        <v xml:space="preserve"> </v>
      </c>
      <c r="K39" s="652" t="str">
        <f>IF($E39=0," ",'t12'!F39/$E39)</f>
        <v xml:space="preserve"> </v>
      </c>
      <c r="L39" s="652" t="str">
        <f>IF($E39=0," ",'t12'!G39/$E39)</f>
        <v xml:space="preserve"> </v>
      </c>
      <c r="M39" s="653">
        <f t="shared" si="0"/>
        <v>0</v>
      </c>
      <c r="N39" s="654" t="str">
        <f>IF($E39=0," ",'t12'!H39/$E39)</f>
        <v xml:space="preserve"> </v>
      </c>
      <c r="O39" s="654" t="str">
        <f>IF($E39=0," ",'t12'!I39/$E39)</f>
        <v xml:space="preserve"> </v>
      </c>
      <c r="P39" s="652" t="str">
        <f>IF($E39=0," ",'t13'!V39/$E39)</f>
        <v xml:space="preserve"> </v>
      </c>
      <c r="Q39" s="652" t="str">
        <f>IF($E39=0," ",SUM('t13'!C39:J39)/$E39)</f>
        <v xml:space="preserve"> </v>
      </c>
      <c r="R39" s="652" t="str">
        <f>IF($E39=0," ",(SUM('t13'!K39:S39)+'t13'!U39)/$E39)</f>
        <v xml:space="preserve"> </v>
      </c>
      <c r="S39" s="653">
        <f t="shared" si="1"/>
        <v>0</v>
      </c>
      <c r="T39" s="654" t="str">
        <f>IF($E39=0," ",'t13'!T39/$E39)</f>
        <v xml:space="preserve"> </v>
      </c>
      <c r="V39"/>
      <c r="W39"/>
      <c r="X39"/>
      <c r="Y39"/>
    </row>
    <row r="40" spans="1:25" s="110" customFormat="1">
      <c r="A40" s="139" t="str">
        <f>'t1'!A40</f>
        <v>POSIZIONE ECONOMICA B3</v>
      </c>
      <c r="B40" s="318" t="str">
        <f>'t1'!B40</f>
        <v>034000</v>
      </c>
      <c r="C40" s="650">
        <f>'t1'!L40+'t1'!M40</f>
        <v>0</v>
      </c>
      <c r="D40" s="650">
        <f>('t1'!L40+'t1'!M40)-SUM('t3'!C40:F40,'t3'!I40:L40)+SUM('t3'!M40:P40)</f>
        <v>0</v>
      </c>
      <c r="E40" s="651">
        <f>'t12'!C40/12</f>
        <v>0</v>
      </c>
      <c r="F40" s="651" t="str">
        <f>IF($D40&gt;0,(('t11'!C42+'t11'!D42)/$D40)," ")</f>
        <v xml:space="preserve"> </v>
      </c>
      <c r="G40" s="651" t="str">
        <f>IF($D40&gt;0,(SUM('t11'!E42:N42)/$D40)," ")</f>
        <v xml:space="preserve"> </v>
      </c>
      <c r="H40" s="651" t="str">
        <f>IF($D40&gt;0,(SUM('t11'!O42:R42)/$D40)," ")</f>
        <v xml:space="preserve"> </v>
      </c>
      <c r="I40" s="652" t="str">
        <f>IF($E40=0," ",('t12'!D40)/$E40)</f>
        <v xml:space="preserve"> </v>
      </c>
      <c r="J40" s="652" t="str">
        <f>IF($E40=0," ",'t12'!E40/$E40)</f>
        <v xml:space="preserve"> </v>
      </c>
      <c r="K40" s="652" t="str">
        <f>IF($E40=0," ",'t12'!F40/$E40)</f>
        <v xml:space="preserve"> </v>
      </c>
      <c r="L40" s="652" t="str">
        <f>IF($E40=0," ",'t12'!G40/$E40)</f>
        <v xml:space="preserve"> </v>
      </c>
      <c r="M40" s="653">
        <f t="shared" si="0"/>
        <v>0</v>
      </c>
      <c r="N40" s="654" t="str">
        <f>IF($E40=0," ",'t12'!H40/$E40)</f>
        <v xml:space="preserve"> </v>
      </c>
      <c r="O40" s="654" t="str">
        <f>IF($E40=0," ",'t12'!I40/$E40)</f>
        <v xml:space="preserve"> </v>
      </c>
      <c r="P40" s="652" t="str">
        <f>IF($E40=0," ",'t13'!V40/$E40)</f>
        <v xml:space="preserve"> </v>
      </c>
      <c r="Q40" s="652" t="str">
        <f>IF($E40=0," ",SUM('t13'!C40:J40)/$E40)</f>
        <v xml:space="preserve"> </v>
      </c>
      <c r="R40" s="652" t="str">
        <f>IF($E40=0," ",(SUM('t13'!K40:S40)+'t13'!U40)/$E40)</f>
        <v xml:space="preserve"> </v>
      </c>
      <c r="S40" s="653">
        <f t="shared" si="1"/>
        <v>0</v>
      </c>
      <c r="T40" s="654" t="str">
        <f>IF($E40=0," ",'t13'!T40/$E40)</f>
        <v xml:space="preserve"> </v>
      </c>
      <c r="V40"/>
      <c r="W40"/>
      <c r="X40"/>
      <c r="Y40"/>
    </row>
    <row r="41" spans="1:25" s="110" customFormat="1">
      <c r="A41" s="139" t="str">
        <f>'t1'!A41</f>
        <v>POSIZIONE ECONOMICA B2</v>
      </c>
      <c r="B41" s="318" t="str">
        <f>'t1'!B41</f>
        <v>032000</v>
      </c>
      <c r="C41" s="650">
        <f>'t1'!L41+'t1'!M41</f>
        <v>0</v>
      </c>
      <c r="D41" s="650">
        <f>('t1'!L41+'t1'!M41)-SUM('t3'!C41:F41,'t3'!I41:L41)+SUM('t3'!M41:P41)</f>
        <v>0</v>
      </c>
      <c r="E41" s="651">
        <f>'t12'!C41/12</f>
        <v>0</v>
      </c>
      <c r="F41" s="651" t="str">
        <f>IF($D41&gt;0,(('t11'!C43+'t11'!D43)/$D41)," ")</f>
        <v xml:space="preserve"> </v>
      </c>
      <c r="G41" s="651" t="str">
        <f>IF($D41&gt;0,(SUM('t11'!E43:N43)/$D41)," ")</f>
        <v xml:space="preserve"> </v>
      </c>
      <c r="H41" s="651" t="str">
        <f>IF($D41&gt;0,(SUM('t11'!O43:R43)/$D41)," ")</f>
        <v xml:space="preserve"> </v>
      </c>
      <c r="I41" s="652" t="str">
        <f>IF($E41=0," ",('t12'!D41)/$E41)</f>
        <v xml:space="preserve"> </v>
      </c>
      <c r="J41" s="652" t="str">
        <f>IF($E41=0," ",'t12'!E41/$E41)</f>
        <v xml:space="preserve"> </v>
      </c>
      <c r="K41" s="652" t="str">
        <f>IF($E41=0," ",'t12'!F41/$E41)</f>
        <v xml:space="preserve"> </v>
      </c>
      <c r="L41" s="652" t="str">
        <f>IF($E41=0," ",'t12'!G41/$E41)</f>
        <v xml:space="preserve"> </v>
      </c>
      <c r="M41" s="653">
        <f t="shared" si="0"/>
        <v>0</v>
      </c>
      <c r="N41" s="654" t="str">
        <f>IF($E41=0," ",'t12'!H41/$E41)</f>
        <v xml:space="preserve"> </v>
      </c>
      <c r="O41" s="654" t="str">
        <f>IF($E41=0," ",'t12'!I41/$E41)</f>
        <v xml:space="preserve"> </v>
      </c>
      <c r="P41" s="652" t="str">
        <f>IF($E41=0," ",'t13'!V41/$E41)</f>
        <v xml:space="preserve"> </v>
      </c>
      <c r="Q41" s="652" t="str">
        <f>IF($E41=0," ",SUM('t13'!C41:J41)/$E41)</f>
        <v xml:space="preserve"> </v>
      </c>
      <c r="R41" s="652" t="str">
        <f>IF($E41=0," ",(SUM('t13'!K41:S41)+'t13'!U41)/$E41)</f>
        <v xml:space="preserve"> </v>
      </c>
      <c r="S41" s="653">
        <f t="shared" si="1"/>
        <v>0</v>
      </c>
      <c r="T41" s="654" t="str">
        <f>IF($E41=0," ",'t13'!T41/$E41)</f>
        <v xml:space="preserve"> </v>
      </c>
      <c r="V41"/>
      <c r="W41"/>
      <c r="X41"/>
      <c r="Y41"/>
    </row>
    <row r="42" spans="1:25" s="110" customFormat="1">
      <c r="A42" s="139" t="str">
        <f>'t1'!A42</f>
        <v>POSIZIONE ECONOMICA DI ACCESSO B1</v>
      </c>
      <c r="B42" s="318" t="str">
        <f>'t1'!B42</f>
        <v>054000</v>
      </c>
      <c r="C42" s="650">
        <f>'t1'!L42+'t1'!M42</f>
        <v>0</v>
      </c>
      <c r="D42" s="650">
        <f>('t1'!L42+'t1'!M42)-SUM('t3'!C42:F42,'t3'!I42:L42)+SUM('t3'!M42:P42)</f>
        <v>0</v>
      </c>
      <c r="E42" s="651">
        <f>'t12'!C42/12</f>
        <v>0</v>
      </c>
      <c r="F42" s="651" t="str">
        <f>IF($D42&gt;0,(('t11'!C44+'t11'!D44)/$D42)," ")</f>
        <v xml:space="preserve"> </v>
      </c>
      <c r="G42" s="651" t="str">
        <f>IF($D42&gt;0,(SUM('t11'!E44:N44)/$D42)," ")</f>
        <v xml:space="preserve"> </v>
      </c>
      <c r="H42" s="651" t="str">
        <f>IF($D42&gt;0,(SUM('t11'!O44:R44)/$D42)," ")</f>
        <v xml:space="preserve"> </v>
      </c>
      <c r="I42" s="652" t="str">
        <f>IF($E42=0," ",('t12'!D42)/$E42)</f>
        <v xml:space="preserve"> </v>
      </c>
      <c r="J42" s="652" t="str">
        <f>IF($E42=0," ",'t12'!E42/$E42)</f>
        <v xml:space="preserve"> </v>
      </c>
      <c r="K42" s="652" t="str">
        <f>IF($E42=0," ",'t12'!F42/$E42)</f>
        <v xml:space="preserve"> </v>
      </c>
      <c r="L42" s="652" t="str">
        <f>IF($E42=0," ",'t12'!G42/$E42)</f>
        <v xml:space="preserve"> </v>
      </c>
      <c r="M42" s="653">
        <f t="shared" si="0"/>
        <v>0</v>
      </c>
      <c r="N42" s="654" t="str">
        <f>IF($E42=0," ",'t12'!H42/$E42)</f>
        <v xml:space="preserve"> </v>
      </c>
      <c r="O42" s="654" t="str">
        <f>IF($E42=0," ",'t12'!I42/$E42)</f>
        <v xml:space="preserve"> </v>
      </c>
      <c r="P42" s="652" t="str">
        <f>IF($E42=0," ",'t13'!V42/$E42)</f>
        <v xml:space="preserve"> </v>
      </c>
      <c r="Q42" s="652" t="str">
        <f>IF($E42=0," ",SUM('t13'!C42:J42)/$E42)</f>
        <v xml:space="preserve"> </v>
      </c>
      <c r="R42" s="652" t="str">
        <f>IF($E42=0," ",(SUM('t13'!K42:S42)+'t13'!U42)/$E42)</f>
        <v xml:space="preserve"> </v>
      </c>
      <c r="S42" s="653">
        <f t="shared" si="1"/>
        <v>0</v>
      </c>
      <c r="T42" s="654" t="str">
        <f>IF($E42=0," ",'t13'!T42/$E42)</f>
        <v xml:space="preserve"> </v>
      </c>
      <c r="V42"/>
      <c r="W42"/>
      <c r="X42"/>
      <c r="Y42"/>
    </row>
    <row r="43" spans="1:25" s="110" customFormat="1">
      <c r="A43" s="139" t="str">
        <f>'t1'!A43</f>
        <v>POSIZIONE ECONOMICA A5</v>
      </c>
      <c r="B43" s="318" t="str">
        <f>'t1'!B43</f>
        <v>0A5000</v>
      </c>
      <c r="C43" s="650">
        <f>'t1'!L43+'t1'!M43</f>
        <v>0</v>
      </c>
      <c r="D43" s="650">
        <f>('t1'!L43+'t1'!M43)-SUM('t3'!C43:F43,'t3'!I43:L43)+SUM('t3'!M43:P43)</f>
        <v>0</v>
      </c>
      <c r="E43" s="651">
        <f>'t12'!C43/12</f>
        <v>0</v>
      </c>
      <c r="F43" s="651" t="str">
        <f>IF($D43&gt;0,(('t11'!C45+'t11'!D45)/$D43)," ")</f>
        <v xml:space="preserve"> </v>
      </c>
      <c r="G43" s="651" t="str">
        <f>IF($D43&gt;0,(SUM('t11'!E45:N45)/$D43)," ")</f>
        <v xml:space="preserve"> </v>
      </c>
      <c r="H43" s="651" t="str">
        <f>IF($D43&gt;0,(SUM('t11'!O45:R45)/$D43)," ")</f>
        <v xml:space="preserve"> </v>
      </c>
      <c r="I43" s="652" t="str">
        <f>IF($E43=0," ",('t12'!D43)/$E43)</f>
        <v xml:space="preserve"> </v>
      </c>
      <c r="J43" s="652" t="str">
        <f>IF($E43=0," ",'t12'!E43/$E43)</f>
        <v xml:space="preserve"> </v>
      </c>
      <c r="K43" s="652" t="str">
        <f>IF($E43=0," ",'t12'!F43/$E43)</f>
        <v xml:space="preserve"> </v>
      </c>
      <c r="L43" s="652" t="str">
        <f>IF($E43=0," ",'t12'!G43/$E43)</f>
        <v xml:space="preserve"> </v>
      </c>
      <c r="M43" s="653">
        <f t="shared" si="0"/>
        <v>0</v>
      </c>
      <c r="N43" s="654" t="str">
        <f>IF($E43=0," ",'t12'!H43/$E43)</f>
        <v xml:space="preserve"> </v>
      </c>
      <c r="O43" s="654" t="str">
        <f>IF($E43=0," ",'t12'!I43/$E43)</f>
        <v xml:space="preserve"> </v>
      </c>
      <c r="P43" s="652" t="str">
        <f>IF($E43=0," ",'t13'!V43/$E43)</f>
        <v xml:space="preserve"> </v>
      </c>
      <c r="Q43" s="652" t="str">
        <f>IF($E43=0," ",SUM('t13'!C43:J43)/$E43)</f>
        <v xml:space="preserve"> </v>
      </c>
      <c r="R43" s="652" t="str">
        <f>IF($E43=0," ",(SUM('t13'!K43:S43)+'t13'!U43)/$E43)</f>
        <v xml:space="preserve"> </v>
      </c>
      <c r="S43" s="653">
        <f t="shared" si="1"/>
        <v>0</v>
      </c>
      <c r="T43" s="654" t="str">
        <f>IF($E43=0," ",'t13'!T43/$E43)</f>
        <v xml:space="preserve"> </v>
      </c>
      <c r="V43"/>
      <c r="W43"/>
      <c r="X43"/>
      <c r="Y43"/>
    </row>
    <row r="44" spans="1:25" s="110" customFormat="1">
      <c r="A44" s="139" t="str">
        <f>'t1'!A44</f>
        <v>POSIZIONE ECONOMICA A4</v>
      </c>
      <c r="B44" s="318" t="str">
        <f>'t1'!B44</f>
        <v>028000</v>
      </c>
      <c r="C44" s="650">
        <f>'t1'!L44+'t1'!M44</f>
        <v>0</v>
      </c>
      <c r="D44" s="650">
        <f>('t1'!L44+'t1'!M44)-SUM('t3'!C44:F44,'t3'!I44:L44)+SUM('t3'!M44:P44)</f>
        <v>0</v>
      </c>
      <c r="E44" s="651">
        <f>'t12'!C44/12</f>
        <v>0</v>
      </c>
      <c r="F44" s="651" t="str">
        <f>IF($D44&gt;0,(('t11'!C46+'t11'!D46)/$D44)," ")</f>
        <v xml:space="preserve"> </v>
      </c>
      <c r="G44" s="651" t="str">
        <f>IF($D44&gt;0,(SUM('t11'!E46:N46)/$D44)," ")</f>
        <v xml:space="preserve"> </v>
      </c>
      <c r="H44" s="651" t="str">
        <f>IF($D44&gt;0,(SUM('t11'!O46:R46)/$D44)," ")</f>
        <v xml:space="preserve"> </v>
      </c>
      <c r="I44" s="652" t="str">
        <f>IF($E44=0," ",('t12'!D44)/$E44)</f>
        <v xml:space="preserve"> </v>
      </c>
      <c r="J44" s="652" t="str">
        <f>IF($E44=0," ",'t12'!E44/$E44)</f>
        <v xml:space="preserve"> </v>
      </c>
      <c r="K44" s="652" t="str">
        <f>IF($E44=0," ",'t12'!F44/$E44)</f>
        <v xml:space="preserve"> </v>
      </c>
      <c r="L44" s="652" t="str">
        <f>IF($E44=0," ",'t12'!G44/$E44)</f>
        <v xml:space="preserve"> </v>
      </c>
      <c r="M44" s="653">
        <f t="shared" si="0"/>
        <v>0</v>
      </c>
      <c r="N44" s="654" t="str">
        <f>IF($E44=0," ",'t12'!H44/$E44)</f>
        <v xml:space="preserve"> </v>
      </c>
      <c r="O44" s="654" t="str">
        <f>IF($E44=0," ",'t12'!I44/$E44)</f>
        <v xml:space="preserve"> </v>
      </c>
      <c r="P44" s="652" t="str">
        <f>IF($E44=0," ",'t13'!V44/$E44)</f>
        <v xml:space="preserve"> </v>
      </c>
      <c r="Q44" s="652" t="str">
        <f>IF($E44=0," ",SUM('t13'!C44:J44)/$E44)</f>
        <v xml:space="preserve"> </v>
      </c>
      <c r="R44" s="652" t="str">
        <f>IF($E44=0," ",(SUM('t13'!K44:S44)+'t13'!U44)/$E44)</f>
        <v xml:space="preserve"> </v>
      </c>
      <c r="S44" s="653">
        <f t="shared" si="1"/>
        <v>0</v>
      </c>
      <c r="T44" s="654" t="str">
        <f>IF($E44=0," ",'t13'!T44/$E44)</f>
        <v xml:space="preserve"> </v>
      </c>
      <c r="V44"/>
      <c r="W44"/>
      <c r="X44"/>
      <c r="Y44"/>
    </row>
    <row r="45" spans="1:25" s="110" customFormat="1">
      <c r="A45" s="139" t="str">
        <f>'t1'!A45</f>
        <v>POSIZIONE ECONOMICA A3</v>
      </c>
      <c r="B45" s="318" t="str">
        <f>'t1'!B45</f>
        <v>027000</v>
      </c>
      <c r="C45" s="650">
        <f>'t1'!L45+'t1'!M45</f>
        <v>0</v>
      </c>
      <c r="D45" s="650">
        <f>('t1'!L45+'t1'!M45)-SUM('t3'!C45:F45,'t3'!I45:L45)+SUM('t3'!M45:P45)</f>
        <v>0</v>
      </c>
      <c r="E45" s="651">
        <f>'t12'!C45/12</f>
        <v>0</v>
      </c>
      <c r="F45" s="651" t="str">
        <f>IF($D45&gt;0,(('t11'!C47+'t11'!D47)/$D45)," ")</f>
        <v xml:space="preserve"> </v>
      </c>
      <c r="G45" s="651" t="str">
        <f>IF($D45&gt;0,(SUM('t11'!E47:N47)/$D45)," ")</f>
        <v xml:space="preserve"> </v>
      </c>
      <c r="H45" s="651" t="str">
        <f>IF($D45&gt;0,(SUM('t11'!O47:R47)/$D45)," ")</f>
        <v xml:space="preserve"> </v>
      </c>
      <c r="I45" s="652" t="str">
        <f>IF($E45=0," ",('t12'!D45)/$E45)</f>
        <v xml:space="preserve"> </v>
      </c>
      <c r="J45" s="652" t="str">
        <f>IF($E45=0," ",'t12'!E45/$E45)</f>
        <v xml:space="preserve"> </v>
      </c>
      <c r="K45" s="652" t="str">
        <f>IF($E45=0," ",'t12'!F45/$E45)</f>
        <v xml:space="preserve"> </v>
      </c>
      <c r="L45" s="652" t="str">
        <f>IF($E45=0," ",'t12'!G45/$E45)</f>
        <v xml:space="preserve"> </v>
      </c>
      <c r="M45" s="653">
        <f t="shared" si="0"/>
        <v>0</v>
      </c>
      <c r="N45" s="654" t="str">
        <f>IF($E45=0," ",'t12'!H45/$E45)</f>
        <v xml:space="preserve"> </v>
      </c>
      <c r="O45" s="654" t="str">
        <f>IF($E45=0," ",'t12'!I45/$E45)</f>
        <v xml:space="preserve"> </v>
      </c>
      <c r="P45" s="652" t="str">
        <f>IF($E45=0," ",'t13'!V45/$E45)</f>
        <v xml:space="preserve"> </v>
      </c>
      <c r="Q45" s="652" t="str">
        <f>IF($E45=0," ",SUM('t13'!C45:J45)/$E45)</f>
        <v xml:space="preserve"> </v>
      </c>
      <c r="R45" s="652" t="str">
        <f>IF($E45=0," ",(SUM('t13'!K45:S45)+'t13'!U45)/$E45)</f>
        <v xml:space="preserve"> </v>
      </c>
      <c r="S45" s="653">
        <f t="shared" si="1"/>
        <v>0</v>
      </c>
      <c r="T45" s="654" t="str">
        <f>IF($E45=0," ",'t13'!T45/$E45)</f>
        <v xml:space="preserve"> </v>
      </c>
      <c r="V45"/>
      <c r="W45"/>
      <c r="X45"/>
      <c r="Y45"/>
    </row>
    <row r="46" spans="1:25" s="110" customFormat="1">
      <c r="A46" s="139" t="str">
        <f>'t1'!A46</f>
        <v>POSIZIONE ECONOMICA A2</v>
      </c>
      <c r="B46" s="318" t="str">
        <f>'t1'!B46</f>
        <v>025000</v>
      </c>
      <c r="C46" s="650">
        <f>'t1'!L46+'t1'!M46</f>
        <v>0</v>
      </c>
      <c r="D46" s="650">
        <f>('t1'!L46+'t1'!M46)-SUM('t3'!C46:F46,'t3'!I46:L46)+SUM('t3'!M46:P46)</f>
        <v>0</v>
      </c>
      <c r="E46" s="651">
        <f>'t12'!C46/12</f>
        <v>0</v>
      </c>
      <c r="F46" s="651" t="str">
        <f>IF($D46&gt;0,(('t11'!C48+'t11'!D48)/$D46)," ")</f>
        <v xml:space="preserve"> </v>
      </c>
      <c r="G46" s="651" t="str">
        <f>IF($D46&gt;0,(SUM('t11'!E48:N48)/$D46)," ")</f>
        <v xml:space="preserve"> </v>
      </c>
      <c r="H46" s="651" t="str">
        <f>IF($D46&gt;0,(SUM('t11'!O48:R48)/$D46)," ")</f>
        <v xml:space="preserve"> </v>
      </c>
      <c r="I46" s="652" t="str">
        <f>IF($E46=0," ",('t12'!D46)/$E46)</f>
        <v xml:space="preserve"> </v>
      </c>
      <c r="J46" s="652" t="str">
        <f>IF($E46=0," ",'t12'!E46/$E46)</f>
        <v xml:space="preserve"> </v>
      </c>
      <c r="K46" s="652" t="str">
        <f>IF($E46=0," ",'t12'!F46/$E46)</f>
        <v xml:space="preserve"> </v>
      </c>
      <c r="L46" s="652" t="str">
        <f>IF($E46=0," ",'t12'!G46/$E46)</f>
        <v xml:space="preserve"> </v>
      </c>
      <c r="M46" s="653">
        <f t="shared" si="0"/>
        <v>0</v>
      </c>
      <c r="N46" s="654" t="str">
        <f>IF($E46=0," ",'t12'!H46/$E46)</f>
        <v xml:space="preserve"> </v>
      </c>
      <c r="O46" s="654" t="str">
        <f>IF($E46=0," ",'t12'!I46/$E46)</f>
        <v xml:space="preserve"> </v>
      </c>
      <c r="P46" s="652" t="str">
        <f>IF($E46=0," ",'t13'!V46/$E46)</f>
        <v xml:space="preserve"> </v>
      </c>
      <c r="Q46" s="652" t="str">
        <f>IF($E46=0," ",SUM('t13'!C46:J46)/$E46)</f>
        <v xml:space="preserve"> </v>
      </c>
      <c r="R46" s="652" t="str">
        <f>IF($E46=0," ",(SUM('t13'!K46:S46)+'t13'!U46)/$E46)</f>
        <v xml:space="preserve"> </v>
      </c>
      <c r="S46" s="653">
        <f t="shared" si="1"/>
        <v>0</v>
      </c>
      <c r="T46" s="654" t="str">
        <f>IF($E46=0," ",'t13'!T46/$E46)</f>
        <v xml:space="preserve"> </v>
      </c>
      <c r="V46"/>
      <c r="W46"/>
      <c r="X46"/>
      <c r="Y46"/>
    </row>
    <row r="47" spans="1:25" s="110" customFormat="1">
      <c r="A47" s="139" t="str">
        <f>'t1'!A47</f>
        <v>POSIZIONE ECONOMICA DI ACCESSO A1</v>
      </c>
      <c r="B47" s="318" t="str">
        <f>'t1'!B47</f>
        <v>053000</v>
      </c>
      <c r="C47" s="650">
        <f>'t1'!L47+'t1'!M47</f>
        <v>0</v>
      </c>
      <c r="D47" s="650">
        <f>('t1'!L47+'t1'!M47)-SUM('t3'!C47:F47,'t3'!I47:L47)+SUM('t3'!M47:P47)</f>
        <v>0</v>
      </c>
      <c r="E47" s="651">
        <f>'t12'!C47/12</f>
        <v>0</v>
      </c>
      <c r="F47" s="651" t="str">
        <f>IF($D47&gt;0,(('t11'!C49+'t11'!D49)/$D47)," ")</f>
        <v xml:space="preserve"> </v>
      </c>
      <c r="G47" s="651" t="str">
        <f>IF($D47&gt;0,(SUM('t11'!E49:N49)/$D47)," ")</f>
        <v xml:space="preserve"> </v>
      </c>
      <c r="H47" s="651" t="str">
        <f>IF($D47&gt;0,(SUM('t11'!O49:R49)/$D47)," ")</f>
        <v xml:space="preserve"> </v>
      </c>
      <c r="I47" s="652" t="str">
        <f>IF($E47=0," ",('t12'!D47)/$E47)</f>
        <v xml:space="preserve"> </v>
      </c>
      <c r="J47" s="652" t="str">
        <f>IF($E47=0," ",'t12'!E47/$E47)</f>
        <v xml:space="preserve"> </v>
      </c>
      <c r="K47" s="652" t="str">
        <f>IF($E47=0," ",'t12'!F47/$E47)</f>
        <v xml:space="preserve"> </v>
      </c>
      <c r="L47" s="652" t="str">
        <f>IF($E47=0," ",'t12'!G47/$E47)</f>
        <v xml:space="preserve"> </v>
      </c>
      <c r="M47" s="653">
        <f t="shared" si="0"/>
        <v>0</v>
      </c>
      <c r="N47" s="654" t="str">
        <f>IF($E47=0," ",'t12'!H47/$E47)</f>
        <v xml:space="preserve"> </v>
      </c>
      <c r="O47" s="654" t="str">
        <f>IF($E47=0," ",'t12'!I47/$E47)</f>
        <v xml:space="preserve"> </v>
      </c>
      <c r="P47" s="652" t="str">
        <f>IF($E47=0," ",'t13'!V47/$E47)</f>
        <v xml:space="preserve"> </v>
      </c>
      <c r="Q47" s="652" t="str">
        <f>IF($E47=0," ",SUM('t13'!C47:J47)/$E47)</f>
        <v xml:space="preserve"> </v>
      </c>
      <c r="R47" s="652" t="str">
        <f>IF($E47=0," ",(SUM('t13'!K47:S47)+'t13'!U47)/$E47)</f>
        <v xml:space="preserve"> </v>
      </c>
      <c r="S47" s="653">
        <f t="shared" si="1"/>
        <v>0</v>
      </c>
      <c r="T47" s="654" t="str">
        <f>IF($E47=0," ",'t13'!T47/$E47)</f>
        <v xml:space="preserve"> </v>
      </c>
      <c r="V47"/>
      <c r="W47"/>
      <c r="X47"/>
      <c r="Y47"/>
    </row>
    <row r="48" spans="1:25" s="110" customFormat="1">
      <c r="A48" s="139" t="str">
        <f>'t1'!A48</f>
        <v>CONTRATTISTI (a)</v>
      </c>
      <c r="B48" s="318" t="str">
        <f>'t1'!B48</f>
        <v>000061</v>
      </c>
      <c r="C48" s="650">
        <f>'t1'!L48+'t1'!M48</f>
        <v>0</v>
      </c>
      <c r="D48" s="650">
        <f>('t1'!L48+'t1'!M48)-SUM('t3'!C48:F48,'t3'!I48:L48)+SUM('t3'!M48:P48)</f>
        <v>0</v>
      </c>
      <c r="E48" s="651">
        <f>'t12'!C48/12</f>
        <v>0</v>
      </c>
      <c r="F48" s="651" t="str">
        <f>IF($D48&gt;0,(('t11'!C50+'t11'!D50)/$D48)," ")</f>
        <v xml:space="preserve"> </v>
      </c>
      <c r="G48" s="651" t="str">
        <f>IF($D48&gt;0,(SUM('t11'!E50:N50)/$D48)," ")</f>
        <v xml:space="preserve"> </v>
      </c>
      <c r="H48" s="651" t="str">
        <f>IF($D48&gt;0,(SUM('t11'!O50:R50)/$D48)," ")</f>
        <v xml:space="preserve"> </v>
      </c>
      <c r="I48" s="652" t="str">
        <f>IF($E48=0," ",('t12'!D48)/$E48)</f>
        <v xml:space="preserve"> </v>
      </c>
      <c r="J48" s="652" t="str">
        <f>IF($E48=0," ",'t12'!E48/$E48)</f>
        <v xml:space="preserve"> </v>
      </c>
      <c r="K48" s="652" t="str">
        <f>IF($E48=0," ",'t12'!F48/$E48)</f>
        <v xml:space="preserve"> </v>
      </c>
      <c r="L48" s="652" t="str">
        <f>IF($E48=0," ",'t12'!G48/$E48)</f>
        <v xml:space="preserve"> </v>
      </c>
      <c r="M48" s="653">
        <f>SUM(I48:L48)</f>
        <v>0</v>
      </c>
      <c r="N48" s="654" t="str">
        <f>IF($E48=0," ",'t12'!H48/$E48)</f>
        <v xml:space="preserve"> </v>
      </c>
      <c r="O48" s="654" t="str">
        <f>IF($E48=0," ",'t12'!I48/$E48)</f>
        <v xml:space="preserve"> </v>
      </c>
      <c r="P48" s="652" t="str">
        <f>IF($E48=0," ",'t13'!V48/$E48)</f>
        <v xml:space="preserve"> </v>
      </c>
      <c r="Q48" s="652" t="str">
        <f>IF($E48=0," ",SUM('t13'!C48:J48)/$E48)</f>
        <v xml:space="preserve"> </v>
      </c>
      <c r="R48" s="652" t="str">
        <f>IF($E48=0," ",(SUM('t13'!K48:S48)+'t13'!U48)/$E48)</f>
        <v xml:space="preserve"> </v>
      </c>
      <c r="S48" s="653">
        <f>SUM(P48:R48)</f>
        <v>0</v>
      </c>
      <c r="T48" s="654" t="str">
        <f>IF($E48=0," ",'t13'!T48/$E48)</f>
        <v xml:space="preserve"> </v>
      </c>
      <c r="V48"/>
      <c r="W48"/>
      <c r="X48"/>
      <c r="Y48"/>
    </row>
    <row r="49" spans="1:25" s="110" customFormat="1">
      <c r="A49" s="139" t="str">
        <f>'t1'!A49</f>
        <v>COLLABORATORE A T.D. ART. 90 TUEL (b)</v>
      </c>
      <c r="B49" s="318" t="str">
        <f>'t1'!B49</f>
        <v>000096</v>
      </c>
      <c r="C49" s="650">
        <f>'t1'!L49+'t1'!M49</f>
        <v>0</v>
      </c>
      <c r="D49" s="650">
        <f>('t1'!L49+'t1'!M49)-SUM('t3'!C49:F49,'t3'!I49:L49)+SUM('t3'!M49:P49)</f>
        <v>0</v>
      </c>
      <c r="E49" s="651">
        <f>'t12'!C49/12</f>
        <v>0</v>
      </c>
      <c r="F49" s="651" t="str">
        <f>IF($D49&gt;0,(('t11'!C51+'t11'!D51)/$D49)," ")</f>
        <v xml:space="preserve"> </v>
      </c>
      <c r="G49" s="651" t="str">
        <f>IF($D49&gt;0,(SUM('t11'!E51:N51)/$D49)," ")</f>
        <v xml:space="preserve"> </v>
      </c>
      <c r="H49" s="651" t="str">
        <f>IF($D49&gt;0,(SUM('t11'!O51:R51)/$D49)," ")</f>
        <v xml:space="preserve"> </v>
      </c>
      <c r="I49" s="652" t="str">
        <f>IF($E49=0," ",('t12'!D49)/$E49)</f>
        <v xml:space="preserve"> </v>
      </c>
      <c r="J49" s="652" t="str">
        <f>IF($E49=0," ",'t12'!E49/$E49)</f>
        <v xml:space="preserve"> </v>
      </c>
      <c r="K49" s="652" t="str">
        <f>IF($E49=0," ",'t12'!F49/$E49)</f>
        <v xml:space="preserve"> </v>
      </c>
      <c r="L49" s="652" t="str">
        <f>IF($E49=0," ",'t12'!G49/$E49)</f>
        <v xml:space="preserve"> </v>
      </c>
      <c r="M49" s="653">
        <f t="shared" si="0"/>
        <v>0</v>
      </c>
      <c r="N49" s="654" t="str">
        <f>IF($E49=0," ",'t12'!H49/$E49)</f>
        <v xml:space="preserve"> </v>
      </c>
      <c r="O49" s="654" t="str">
        <f>IF($E49=0," ",'t12'!I49/$E49)</f>
        <v xml:space="preserve"> </v>
      </c>
      <c r="P49" s="652" t="str">
        <f>IF($E49=0," ",'t13'!V49/$E49)</f>
        <v xml:space="preserve"> </v>
      </c>
      <c r="Q49" s="652" t="str">
        <f>IF($E49=0," ",SUM('t13'!C49:J49)/$E49)</f>
        <v xml:space="preserve"> </v>
      </c>
      <c r="R49" s="652" t="str">
        <f>IF($E49=0," ",(SUM('t13'!K49:S49)+'t13'!U49)/$E49)</f>
        <v xml:space="preserve"> </v>
      </c>
      <c r="S49" s="653">
        <f t="shared" si="1"/>
        <v>0</v>
      </c>
      <c r="T49" s="654" t="str">
        <f>IF($E49=0," ",'t13'!T49/$E49)</f>
        <v xml:space="preserve"> </v>
      </c>
      <c r="V49"/>
      <c r="W49"/>
      <c r="X49"/>
      <c r="Y49"/>
    </row>
    <row r="51" spans="1:25">
      <c r="A51" s="5" t="str">
        <f>"(*)  Personale presente al 31/12/"&amp;'t1'!M1&amp;" di T1 - personale dell'amministrazione comandato/distaccato, fuori ruolo e in esonero di T3 + personale esterno comandato/distaccato e fuori ruolo di T3"</f>
        <v>(*)  Personale presente al 31/12/2017 di T1 - personale dell'amministrazione comandato/distaccato, fuori ruolo e in esonero di T3 + personale esterno comandato/distaccato e fuori ruolo di T3</v>
      </c>
    </row>
    <row r="52" spans="1:25">
      <c r="A52" s="5" t="s">
        <v>712</v>
      </c>
    </row>
  </sheetData>
  <sheetProtection password="EA98" sheet="1" formatColumns="0" selectLockedCells="1" selectUnlockedCells="1"/>
  <mergeCells count="4">
    <mergeCell ref="A1:I1"/>
    <mergeCell ref="F4:H4"/>
    <mergeCell ref="I4:O4"/>
    <mergeCell ref="P4:T4"/>
  </mergeCells>
  <phoneticPr fontId="30" type="noConversion"/>
  <printOptions horizontalCentered="1" verticalCentered="1"/>
  <pageMargins left="0.19685039370078741" right="0.19685039370078741" top="0.19685039370078741" bottom="0.15748031496062992" header="0.15748031496062992" footer="0.15748031496062992"/>
  <pageSetup paperSize="9" scale="80" orientation="landscape" horizontalDpi="0" verticalDpi="0" r:id="rId1"/>
  <headerFooter alignWithMargins="0"/>
  <colBreaks count="1" manualBreakCount="1">
    <brk id="15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2">
    <pageSetUpPr fitToPage="1"/>
  </sheetPr>
  <dimension ref="A1:T73"/>
  <sheetViews>
    <sheetView showGridLines="0" workbookViewId="0">
      <pane ySplit="5" topLeftCell="A6" activePane="bottomLeft" state="frozen"/>
      <selection activeCell="A2" sqref="A2"/>
      <selection pane="bottomLeft" activeCell="C2" sqref="C2"/>
    </sheetView>
  </sheetViews>
  <sheetFormatPr defaultColWidth="9.28515625" defaultRowHeight="10.199999999999999"/>
  <cols>
    <col min="1" max="1" width="37.85546875" style="5" customWidth="1"/>
    <col min="2" max="2" width="10" style="7" bestFit="1" customWidth="1"/>
    <col min="3" max="7" width="13.28515625" style="7" customWidth="1"/>
    <col min="8" max="8" width="15" style="7" customWidth="1"/>
    <col min="9" max="10" width="13.28515625" style="7" customWidth="1"/>
    <col min="11" max="16384" width="9.28515625" style="5"/>
  </cols>
  <sheetData>
    <row r="1" spans="1:13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314"/>
      <c r="J1" s="311"/>
      <c r="K1" s="3"/>
      <c r="M1"/>
    </row>
    <row r="2" spans="1:13" ht="21" customHeight="1">
      <c r="B2" s="5"/>
      <c r="C2" s="5"/>
      <c r="D2" s="1524"/>
      <c r="E2" s="1524"/>
      <c r="F2" s="1524"/>
      <c r="G2" s="1524"/>
      <c r="H2" s="1524"/>
      <c r="I2" s="1524"/>
      <c r="J2" s="1524"/>
      <c r="K2" s="3"/>
      <c r="M2"/>
    </row>
    <row r="3" spans="1:13" s="196" customFormat="1" ht="21" customHeight="1">
      <c r="A3" s="196" t="str">
        <f>"Tavola di coerenza tra presenti al 31.12."&amp;'t1'!M1&amp;" e presenti al 31.12."&amp;'t1'!M1-1&amp;" (Squadratura 1)"</f>
        <v>Tavola di coerenza tra presenti al 31.12.2017 e presenti al 31.12.2016 (Squadratura 1)</v>
      </c>
      <c r="B3" s="313"/>
    </row>
    <row r="4" spans="1:13" ht="36.75" customHeight="1">
      <c r="A4" s="177" t="s">
        <v>233</v>
      </c>
      <c r="B4" s="178" t="s">
        <v>232</v>
      </c>
      <c r="C4" s="178" t="str">
        <f>"Presenti 31.12."&amp;'t1'!M1-1&amp;" (Tab 1)"</f>
        <v>Presenti 31.12.2016 (Tab 1)</v>
      </c>
      <c r="D4" s="178" t="s">
        <v>225</v>
      </c>
      <c r="E4" s="178" t="s">
        <v>280</v>
      </c>
      <c r="F4" s="178" t="s">
        <v>227</v>
      </c>
      <c r="G4" s="178" t="s">
        <v>226</v>
      </c>
      <c r="H4" s="178" t="str">
        <f>"Presenti 31.12."&amp;'t1'!M1&amp;" (Calcolati)"</f>
        <v>Presenti 31.12.2017 (Calcolati)</v>
      </c>
      <c r="I4" s="178" t="str">
        <f>"Presenti 31.12."&amp;'t1'!M1&amp;" (Tab 1)"</f>
        <v>Presenti 31.12.2017 (Tab 1)</v>
      </c>
      <c r="J4" s="178" t="s">
        <v>242</v>
      </c>
    </row>
    <row r="5" spans="1:13">
      <c r="A5" s="184"/>
      <c r="B5" s="178"/>
      <c r="C5" s="185" t="s">
        <v>234</v>
      </c>
      <c r="D5" s="185" t="s">
        <v>235</v>
      </c>
      <c r="E5" s="185" t="s">
        <v>236</v>
      </c>
      <c r="F5" s="185" t="s">
        <v>237</v>
      </c>
      <c r="G5" s="185" t="s">
        <v>238</v>
      </c>
      <c r="H5" s="185" t="s">
        <v>239</v>
      </c>
      <c r="I5" s="185" t="s">
        <v>240</v>
      </c>
      <c r="J5" s="185" t="s">
        <v>241</v>
      </c>
    </row>
    <row r="6" spans="1:13" ht="14.1" customHeight="1">
      <c r="A6" s="24" t="str">
        <f>'t1'!A6</f>
        <v>SEGRETARIO A</v>
      </c>
      <c r="B6" s="186" t="str">
        <f>'t1'!B6</f>
        <v>0D0102</v>
      </c>
      <c r="C6" s="334">
        <f>'t1'!C6+'t1'!D6</f>
        <v>0</v>
      </c>
      <c r="D6" s="334">
        <f>'t5'!S7+'t5'!T7</f>
        <v>0</v>
      </c>
      <c r="E6" s="335">
        <f>'t6'!U7+'t6'!V7</f>
        <v>0</v>
      </c>
      <c r="F6" s="335">
        <f>'t4'!AU6</f>
        <v>0</v>
      </c>
      <c r="G6" s="335">
        <f>'t4'!C50</f>
        <v>0</v>
      </c>
      <c r="H6" s="335">
        <f>C6-D6+E6-F6+G6</f>
        <v>0</v>
      </c>
      <c r="I6" s="335">
        <f>'t1'!L6+'t1'!M6</f>
        <v>0</v>
      </c>
      <c r="J6" s="103" t="str">
        <f>IF(H6=I6,"OK","ERRORE")</f>
        <v>OK</v>
      </c>
    </row>
    <row r="7" spans="1:13" ht="14.1" customHeight="1">
      <c r="A7" s="24" t="str">
        <f>'t1'!A7</f>
        <v>SEGRETARIO B</v>
      </c>
      <c r="B7" s="186" t="str">
        <f>'t1'!B7</f>
        <v>0D0103</v>
      </c>
      <c r="C7" s="334">
        <f>'t1'!C7+'t1'!D7</f>
        <v>0</v>
      </c>
      <c r="D7" s="334">
        <f>'t5'!S8+'t5'!T8</f>
        <v>0</v>
      </c>
      <c r="E7" s="335">
        <f>'t6'!U8+'t6'!V8</f>
        <v>0</v>
      </c>
      <c r="F7" s="335">
        <f>'t4'!AU7</f>
        <v>0</v>
      </c>
      <c r="G7" s="335">
        <f>'t4'!D50</f>
        <v>0</v>
      </c>
      <c r="H7" s="335">
        <f t="shared" ref="H7:H40" si="0">C7-D7+E7-F7+G7</f>
        <v>0</v>
      </c>
      <c r="I7" s="335">
        <f>'t1'!L7+'t1'!M7</f>
        <v>0</v>
      </c>
      <c r="J7" s="103" t="str">
        <f t="shared" ref="J7:J50" si="1">IF(H7=I7,"OK","ERRORE")</f>
        <v>OK</v>
      </c>
    </row>
    <row r="8" spans="1:13" ht="14.1" customHeight="1">
      <c r="A8" s="24" t="str">
        <f>'t1'!A8</f>
        <v>SEGRETARIO C</v>
      </c>
      <c r="B8" s="186" t="str">
        <f>'t1'!B8</f>
        <v>0D0485</v>
      </c>
      <c r="C8" s="334">
        <f>'t1'!C8+'t1'!D8</f>
        <v>0</v>
      </c>
      <c r="D8" s="334">
        <f>'t5'!S9+'t5'!T9</f>
        <v>0</v>
      </c>
      <c r="E8" s="335">
        <f>'t6'!U9+'t6'!V9</f>
        <v>0</v>
      </c>
      <c r="F8" s="335">
        <f>'t4'!AU8</f>
        <v>0</v>
      </c>
      <c r="G8" s="335">
        <f>'t4'!E50</f>
        <v>0</v>
      </c>
      <c r="H8" s="335">
        <f t="shared" si="0"/>
        <v>0</v>
      </c>
      <c r="I8" s="335">
        <f>'t1'!L8+'t1'!M8</f>
        <v>0</v>
      </c>
      <c r="J8" s="103" t="str">
        <f t="shared" si="1"/>
        <v>OK</v>
      </c>
    </row>
    <row r="9" spans="1:13" ht="14.1" customHeight="1">
      <c r="A9" s="24" t="str">
        <f>'t1'!A9</f>
        <v>SEGRETARIO GENERALE CCIAA</v>
      </c>
      <c r="B9" s="186" t="str">
        <f>'t1'!B9</f>
        <v>0D0104</v>
      </c>
      <c r="C9" s="334">
        <f>'t1'!C9+'t1'!D9</f>
        <v>0</v>
      </c>
      <c r="D9" s="334">
        <f>'t5'!S10+'t5'!T10</f>
        <v>0</v>
      </c>
      <c r="E9" s="335">
        <f>'t6'!U10+'t6'!V10</f>
        <v>0</v>
      </c>
      <c r="F9" s="335">
        <f>'t4'!AU9</f>
        <v>0</v>
      </c>
      <c r="G9" s="335">
        <f>'t4'!F50</f>
        <v>0</v>
      </c>
      <c r="H9" s="335">
        <f t="shared" si="0"/>
        <v>0</v>
      </c>
      <c r="I9" s="335">
        <f>'t1'!L9+'t1'!M9</f>
        <v>0</v>
      </c>
      <c r="J9" s="103" t="str">
        <f t="shared" si="1"/>
        <v>OK</v>
      </c>
    </row>
    <row r="10" spans="1:13" ht="14.1" customHeight="1">
      <c r="A10" s="24" t="str">
        <f>'t1'!A10</f>
        <v>DIRETTORE  GENERALE</v>
      </c>
      <c r="B10" s="186" t="str">
        <f>'t1'!B10</f>
        <v>0D0097</v>
      </c>
      <c r="C10" s="334">
        <f>'t1'!C10+'t1'!D10</f>
        <v>0</v>
      </c>
      <c r="D10" s="334">
        <f>'t5'!S11+'t5'!T11</f>
        <v>0</v>
      </c>
      <c r="E10" s="335">
        <f>'t6'!U11+'t6'!V11</f>
        <v>0</v>
      </c>
      <c r="F10" s="335">
        <f>'t4'!AU10</f>
        <v>0</v>
      </c>
      <c r="G10" s="335">
        <f>'t4'!G50</f>
        <v>0</v>
      </c>
      <c r="H10" s="335">
        <f t="shared" si="0"/>
        <v>0</v>
      </c>
      <c r="I10" s="335">
        <f>'t1'!L10+'t1'!M10</f>
        <v>0</v>
      </c>
      <c r="J10" s="103" t="str">
        <f t="shared" si="1"/>
        <v>OK</v>
      </c>
    </row>
    <row r="11" spans="1:13" ht="14.1" customHeight="1">
      <c r="A11" s="24" t="str">
        <f>'t1'!A11</f>
        <v>DIRIGENTE FUORI D.O. art.110 c.2 TUEL</v>
      </c>
      <c r="B11" s="186" t="str">
        <f>'t1'!B11</f>
        <v>0D0098</v>
      </c>
      <c r="C11" s="334">
        <f>'t1'!C11+'t1'!D11</f>
        <v>0</v>
      </c>
      <c r="D11" s="334">
        <f>'t5'!S12+'t5'!T12</f>
        <v>0</v>
      </c>
      <c r="E11" s="335">
        <f>'t6'!U12+'t6'!V12</f>
        <v>0</v>
      </c>
      <c r="F11" s="335">
        <f>'t4'!AU11</f>
        <v>0</v>
      </c>
      <c r="G11" s="335">
        <f>'t4'!H50</f>
        <v>0</v>
      </c>
      <c r="H11" s="335">
        <f t="shared" si="0"/>
        <v>0</v>
      </c>
      <c r="I11" s="335">
        <f>'t1'!L11+'t1'!M11</f>
        <v>0</v>
      </c>
      <c r="J11" s="103" t="str">
        <f t="shared" si="1"/>
        <v>OK</v>
      </c>
    </row>
    <row r="12" spans="1:13" ht="14.1" customHeight="1">
      <c r="A12" s="24" t="str">
        <f>'t1'!A12</f>
        <v>ALTE SPECIALIZZ. FUORI D.O.art.110 c.2 TUEL</v>
      </c>
      <c r="B12" s="186" t="str">
        <f>'t1'!B12</f>
        <v>0D0095</v>
      </c>
      <c r="C12" s="334">
        <f>'t1'!C12+'t1'!D12</f>
        <v>0</v>
      </c>
      <c r="D12" s="334">
        <f>'t5'!S13+'t5'!T13</f>
        <v>0</v>
      </c>
      <c r="E12" s="335">
        <f>'t6'!U13+'t6'!V13</f>
        <v>0</v>
      </c>
      <c r="F12" s="335">
        <f>'t4'!AU12</f>
        <v>0</v>
      </c>
      <c r="G12" s="335">
        <f>'t4'!I50</f>
        <v>0</v>
      </c>
      <c r="H12" s="335">
        <f t="shared" si="0"/>
        <v>0</v>
      </c>
      <c r="I12" s="335">
        <f>'t1'!L12+'t1'!M12</f>
        <v>0</v>
      </c>
      <c r="J12" s="103" t="str">
        <f t="shared" si="1"/>
        <v>OK</v>
      </c>
    </row>
    <row r="13" spans="1:13" ht="14.1" customHeight="1">
      <c r="A13" s="24" t="str">
        <f>'t1'!A13</f>
        <v>DIRIGENTE A TEMPO INDETERMINATO</v>
      </c>
      <c r="B13" s="186" t="str">
        <f>'t1'!B13</f>
        <v>0D0164</v>
      </c>
      <c r="C13" s="334">
        <f>'t1'!C13+'t1'!D13</f>
        <v>0</v>
      </c>
      <c r="D13" s="334">
        <f>'t5'!S14+'t5'!T14</f>
        <v>0</v>
      </c>
      <c r="E13" s="335">
        <f>'t6'!U14+'t6'!V14</f>
        <v>0</v>
      </c>
      <c r="F13" s="335">
        <f>'t4'!AU13</f>
        <v>0</v>
      </c>
      <c r="G13" s="335">
        <f>'t4'!J50</f>
        <v>0</v>
      </c>
      <c r="H13" s="335">
        <f>C13-D13+E13-F13+G13</f>
        <v>0</v>
      </c>
      <c r="I13" s="335">
        <f>'t1'!L13+'t1'!M13</f>
        <v>0</v>
      </c>
      <c r="J13" s="103" t="str">
        <f>IF(H13=I13,"OK","ERRORE")</f>
        <v>OK</v>
      </c>
    </row>
    <row r="14" spans="1:13" ht="14.1" customHeight="1">
      <c r="A14" s="24" t="str">
        <f>'t1'!A14</f>
        <v>DIRIGENTE A TEMPO DET.TO  ART.110 C.1 TUEL</v>
      </c>
      <c r="B14" s="186" t="str">
        <f>'t1'!B14</f>
        <v>0D0165</v>
      </c>
      <c r="C14" s="334">
        <f>'t1'!C14+'t1'!D14</f>
        <v>0</v>
      </c>
      <c r="D14" s="334">
        <f>'t5'!S15+'t5'!T15</f>
        <v>0</v>
      </c>
      <c r="E14" s="335">
        <f>'t6'!U15+'t6'!V15</f>
        <v>0</v>
      </c>
      <c r="F14" s="335">
        <f>'t4'!AU14</f>
        <v>0</v>
      </c>
      <c r="G14" s="335">
        <f>'t4'!K50</f>
        <v>0</v>
      </c>
      <c r="H14" s="335">
        <f>C14-D14+E14-F14+G14</f>
        <v>0</v>
      </c>
      <c r="I14" s="335">
        <f>'t1'!L14+'t1'!M14</f>
        <v>0</v>
      </c>
      <c r="J14" s="103" t="str">
        <f>IF(H14=I14,"OK","ERRORE")</f>
        <v>OK</v>
      </c>
    </row>
    <row r="15" spans="1:13" ht="14.1" customHeight="1">
      <c r="A15" s="24" t="str">
        <f>'t1'!A15</f>
        <v>ALTE SPECIALIZZ. IN D.O. art.110 c.1 TUEL</v>
      </c>
      <c r="B15" s="186" t="str">
        <f>'t1'!B15</f>
        <v>0D0I95</v>
      </c>
      <c r="C15" s="334">
        <f>'t1'!C15+'t1'!D15</f>
        <v>0</v>
      </c>
      <c r="D15" s="334">
        <f>'t5'!S16+'t5'!T16</f>
        <v>0</v>
      </c>
      <c r="E15" s="335">
        <f>'t6'!U16+'t6'!V16</f>
        <v>0</v>
      </c>
      <c r="F15" s="335">
        <f>'t4'!AU15</f>
        <v>0</v>
      </c>
      <c r="G15" s="335">
        <f>'t4'!L50</f>
        <v>0</v>
      </c>
      <c r="H15" s="335">
        <f>C15-D15+E15-F15+G15</f>
        <v>0</v>
      </c>
      <c r="I15" s="335">
        <f>'t1'!L15+'t1'!M15</f>
        <v>0</v>
      </c>
      <c r="J15" s="103" t="str">
        <f>IF(H15=I15,"OK","ERRORE")</f>
        <v>OK</v>
      </c>
    </row>
    <row r="16" spans="1:13" ht="14.1" customHeight="1">
      <c r="A16" s="24" t="str">
        <f>'t1'!A16</f>
        <v>POSIZ. ECON. D6 - PROFILI ACCESSO D3</v>
      </c>
      <c r="B16" s="186" t="str">
        <f>'t1'!B16</f>
        <v>0D6A00</v>
      </c>
      <c r="C16" s="334">
        <f>'t1'!C16+'t1'!D16</f>
        <v>0</v>
      </c>
      <c r="D16" s="334">
        <f>'t5'!S17+'t5'!T17</f>
        <v>0</v>
      </c>
      <c r="E16" s="335">
        <f>'t6'!U17+'t6'!V17</f>
        <v>0</v>
      </c>
      <c r="F16" s="335">
        <f>'t4'!AU16</f>
        <v>0</v>
      </c>
      <c r="G16" s="335">
        <f>'t4'!M50</f>
        <v>0</v>
      </c>
      <c r="H16" s="335">
        <f t="shared" si="0"/>
        <v>0</v>
      </c>
      <c r="I16" s="335">
        <f>'t1'!L16+'t1'!M16</f>
        <v>0</v>
      </c>
      <c r="J16" s="103" t="str">
        <f t="shared" si="1"/>
        <v>OK</v>
      </c>
    </row>
    <row r="17" spans="1:10" ht="14.1" customHeight="1">
      <c r="A17" s="24" t="str">
        <f>'t1'!A17</f>
        <v>POSIZ. ECON. D6 - PROFILO ACCESSO D1</v>
      </c>
      <c r="B17" s="186" t="str">
        <f>'t1'!B17</f>
        <v>0D6000</v>
      </c>
      <c r="C17" s="334">
        <f>'t1'!C17+'t1'!D17</f>
        <v>0</v>
      </c>
      <c r="D17" s="334">
        <f>'t5'!S18+'t5'!T18</f>
        <v>0</v>
      </c>
      <c r="E17" s="335">
        <f>'t6'!U18+'t6'!V18</f>
        <v>0</v>
      </c>
      <c r="F17" s="335">
        <f>'t4'!AU17</f>
        <v>0</v>
      </c>
      <c r="G17" s="335">
        <f>'t4'!N50</f>
        <v>0</v>
      </c>
      <c r="H17" s="335">
        <f t="shared" si="0"/>
        <v>0</v>
      </c>
      <c r="I17" s="335">
        <f>'t1'!L17+'t1'!M17</f>
        <v>0</v>
      </c>
      <c r="J17" s="103" t="str">
        <f t="shared" si="1"/>
        <v>OK</v>
      </c>
    </row>
    <row r="18" spans="1:10" ht="14.1" customHeight="1">
      <c r="A18" s="24" t="str">
        <f>'t1'!A18</f>
        <v>POSIZ. ECON. D5 PROFILI ACCESSO D3</v>
      </c>
      <c r="B18" s="186" t="str">
        <f>'t1'!B18</f>
        <v>052486</v>
      </c>
      <c r="C18" s="334">
        <f>'t1'!C18+'t1'!D18</f>
        <v>0</v>
      </c>
      <c r="D18" s="334">
        <f>'t5'!S19+'t5'!T19</f>
        <v>0</v>
      </c>
      <c r="E18" s="335">
        <f>'t6'!U19+'t6'!V19</f>
        <v>0</v>
      </c>
      <c r="F18" s="335">
        <f>'t4'!AU18</f>
        <v>0</v>
      </c>
      <c r="G18" s="335">
        <f>'t4'!O50</f>
        <v>0</v>
      </c>
      <c r="H18" s="335">
        <f t="shared" si="0"/>
        <v>0</v>
      </c>
      <c r="I18" s="335">
        <f>'t1'!L18+'t1'!M18</f>
        <v>0</v>
      </c>
      <c r="J18" s="103" t="str">
        <f t="shared" si="1"/>
        <v>OK</v>
      </c>
    </row>
    <row r="19" spans="1:10" ht="14.1" customHeight="1">
      <c r="A19" s="24" t="str">
        <f>'t1'!A19</f>
        <v>POSIZ. ECON. D5 PROFILI ACCESSO D1</v>
      </c>
      <c r="B19" s="186" t="str">
        <f>'t1'!B19</f>
        <v>052487</v>
      </c>
      <c r="C19" s="334">
        <f>'t1'!C19+'t1'!D19</f>
        <v>0</v>
      </c>
      <c r="D19" s="334">
        <f>'t5'!S20+'t5'!T20</f>
        <v>0</v>
      </c>
      <c r="E19" s="335">
        <f>'t6'!U20+'t6'!V20</f>
        <v>0</v>
      </c>
      <c r="F19" s="335">
        <f>'t4'!AU19</f>
        <v>0</v>
      </c>
      <c r="G19" s="335">
        <f>'t4'!P50</f>
        <v>0</v>
      </c>
      <c r="H19" s="335">
        <f t="shared" si="0"/>
        <v>0</v>
      </c>
      <c r="I19" s="335">
        <f>'t1'!L19+'t1'!M19</f>
        <v>0</v>
      </c>
      <c r="J19" s="103" t="str">
        <f t="shared" si="1"/>
        <v>OK</v>
      </c>
    </row>
    <row r="20" spans="1:10" ht="14.1" customHeight="1">
      <c r="A20" s="24" t="str">
        <f>'t1'!A20</f>
        <v>POSIZ. ECON. D4 PROFILI ACCESSO D3</v>
      </c>
      <c r="B20" s="186" t="str">
        <f>'t1'!B20</f>
        <v>051488</v>
      </c>
      <c r="C20" s="334">
        <f>'t1'!C20+'t1'!D20</f>
        <v>0</v>
      </c>
      <c r="D20" s="334">
        <f>'t5'!S21+'t5'!T21</f>
        <v>0</v>
      </c>
      <c r="E20" s="335">
        <f>'t6'!U21+'t6'!V21</f>
        <v>0</v>
      </c>
      <c r="F20" s="335">
        <f>'t4'!AU20</f>
        <v>0</v>
      </c>
      <c r="G20" s="335">
        <f>'t4'!Q50</f>
        <v>0</v>
      </c>
      <c r="H20" s="335">
        <f t="shared" si="0"/>
        <v>0</v>
      </c>
      <c r="I20" s="335">
        <f>'t1'!L20+'t1'!M20</f>
        <v>0</v>
      </c>
      <c r="J20" s="103" t="str">
        <f t="shared" si="1"/>
        <v>OK</v>
      </c>
    </row>
    <row r="21" spans="1:10" ht="14.1" customHeight="1">
      <c r="A21" s="24" t="str">
        <f>'t1'!A21</f>
        <v>POSIZ. ECON. D4 PROFILI ACCESSO D1</v>
      </c>
      <c r="B21" s="186" t="str">
        <f>'t1'!B21</f>
        <v>051489</v>
      </c>
      <c r="C21" s="334">
        <f>'t1'!C21+'t1'!D21</f>
        <v>0</v>
      </c>
      <c r="D21" s="334">
        <f>'t5'!S22+'t5'!T22</f>
        <v>0</v>
      </c>
      <c r="E21" s="335">
        <f>'t6'!U22+'t6'!V22</f>
        <v>0</v>
      </c>
      <c r="F21" s="335">
        <f>'t4'!AU21</f>
        <v>0</v>
      </c>
      <c r="G21" s="335">
        <f>'t4'!R50</f>
        <v>0</v>
      </c>
      <c r="H21" s="335">
        <f t="shared" si="0"/>
        <v>0</v>
      </c>
      <c r="I21" s="335">
        <f>'t1'!L21+'t1'!M21</f>
        <v>0</v>
      </c>
      <c r="J21" s="103" t="str">
        <f t="shared" si="1"/>
        <v>OK</v>
      </c>
    </row>
    <row r="22" spans="1:10" ht="14.1" customHeight="1">
      <c r="A22" s="24" t="str">
        <f>'t1'!A22</f>
        <v>POSIZIONE ECONOMICA DI ACCESSO D3</v>
      </c>
      <c r="B22" s="186" t="str">
        <f>'t1'!B22</f>
        <v>058000</v>
      </c>
      <c r="C22" s="334">
        <f>'t1'!C22+'t1'!D22</f>
        <v>0</v>
      </c>
      <c r="D22" s="334">
        <f>'t5'!S23+'t5'!T23</f>
        <v>0</v>
      </c>
      <c r="E22" s="335">
        <f>'t6'!U23+'t6'!V23</f>
        <v>0</v>
      </c>
      <c r="F22" s="335">
        <f>'t4'!AU22</f>
        <v>0</v>
      </c>
      <c r="G22" s="335">
        <f>'t4'!S50</f>
        <v>0</v>
      </c>
      <c r="H22" s="335">
        <f t="shared" si="0"/>
        <v>0</v>
      </c>
      <c r="I22" s="335">
        <f>'t1'!L22+'t1'!M22</f>
        <v>0</v>
      </c>
      <c r="J22" s="103" t="str">
        <f t="shared" si="1"/>
        <v>OK</v>
      </c>
    </row>
    <row r="23" spans="1:10" ht="14.1" customHeight="1">
      <c r="A23" s="24" t="str">
        <f>'t1'!A23</f>
        <v>POSIZIONE ECONOMICA D3</v>
      </c>
      <c r="B23" s="186" t="str">
        <f>'t1'!B23</f>
        <v>050000</v>
      </c>
      <c r="C23" s="334">
        <f>'t1'!C23+'t1'!D23</f>
        <v>0</v>
      </c>
      <c r="D23" s="334">
        <f>'t5'!S24+'t5'!T24</f>
        <v>0</v>
      </c>
      <c r="E23" s="335">
        <f>'t6'!U24+'t6'!V24</f>
        <v>0</v>
      </c>
      <c r="F23" s="335">
        <f>'t4'!AU23</f>
        <v>0</v>
      </c>
      <c r="G23" s="335">
        <f>'t4'!T50</f>
        <v>0</v>
      </c>
      <c r="H23" s="335">
        <f t="shared" si="0"/>
        <v>0</v>
      </c>
      <c r="I23" s="335">
        <f>'t1'!L23+'t1'!M23</f>
        <v>0</v>
      </c>
      <c r="J23" s="103" t="str">
        <f t="shared" si="1"/>
        <v>OK</v>
      </c>
    </row>
    <row r="24" spans="1:10" ht="14.1" customHeight="1">
      <c r="A24" s="24" t="str">
        <f>'t1'!A24</f>
        <v>POSIZIONE ECONOMICA D2</v>
      </c>
      <c r="B24" s="186" t="str">
        <f>'t1'!B24</f>
        <v>049000</v>
      </c>
      <c r="C24" s="334">
        <f>'t1'!C24+'t1'!D24</f>
        <v>1</v>
      </c>
      <c r="D24" s="334">
        <f>'t5'!S25+'t5'!T25</f>
        <v>2</v>
      </c>
      <c r="E24" s="335">
        <f>'t6'!U25+'t6'!V25</f>
        <v>1</v>
      </c>
      <c r="F24" s="335">
        <f>'t4'!AU24</f>
        <v>0</v>
      </c>
      <c r="G24" s="335">
        <f>'t4'!U50</f>
        <v>0</v>
      </c>
      <c r="H24" s="335">
        <f t="shared" si="0"/>
        <v>0</v>
      </c>
      <c r="I24" s="335">
        <f>'t1'!L24+'t1'!M24</f>
        <v>0</v>
      </c>
      <c r="J24" s="103" t="str">
        <f t="shared" si="1"/>
        <v>OK</v>
      </c>
    </row>
    <row r="25" spans="1:10" ht="14.1" customHeight="1">
      <c r="A25" s="24" t="str">
        <f>'t1'!A25</f>
        <v>POSIZIONE ECONOMICA DI ACCESSO D1</v>
      </c>
      <c r="B25" s="186" t="str">
        <f>'t1'!B25</f>
        <v>057000</v>
      </c>
      <c r="C25" s="334">
        <f>'t1'!C25+'t1'!D25</f>
        <v>0</v>
      </c>
      <c r="D25" s="334">
        <f>'t5'!S26+'t5'!T26</f>
        <v>0</v>
      </c>
      <c r="E25" s="335">
        <f>'t6'!U26+'t6'!V26</f>
        <v>1</v>
      </c>
      <c r="F25" s="335">
        <f>'t4'!AU25</f>
        <v>0</v>
      </c>
      <c r="G25" s="335">
        <f>'t4'!V50</f>
        <v>0</v>
      </c>
      <c r="H25" s="335">
        <f t="shared" si="0"/>
        <v>1</v>
      </c>
      <c r="I25" s="335">
        <f>'t1'!L25+'t1'!M25</f>
        <v>1</v>
      </c>
      <c r="J25" s="103" t="str">
        <f t="shared" si="1"/>
        <v>OK</v>
      </c>
    </row>
    <row r="26" spans="1:10" ht="14.1" customHeight="1">
      <c r="A26" s="24" t="str">
        <f>'t1'!A26</f>
        <v>POSIZIONE ECONOMICA C5</v>
      </c>
      <c r="B26" s="186" t="str">
        <f>'t1'!B26</f>
        <v>046000</v>
      </c>
      <c r="C26" s="334">
        <f>'t1'!C26+'t1'!D26</f>
        <v>0</v>
      </c>
      <c r="D26" s="334">
        <f>'t5'!S27+'t5'!T27</f>
        <v>0</v>
      </c>
      <c r="E26" s="335">
        <f>'t6'!U27+'t6'!V27</f>
        <v>0</v>
      </c>
      <c r="F26" s="335">
        <f>'t4'!AU26</f>
        <v>0</v>
      </c>
      <c r="G26" s="335">
        <f>'t4'!W50</f>
        <v>0</v>
      </c>
      <c r="H26" s="335">
        <f t="shared" si="0"/>
        <v>0</v>
      </c>
      <c r="I26" s="335">
        <f>'t1'!L26+'t1'!M26</f>
        <v>0</v>
      </c>
      <c r="J26" s="103" t="str">
        <f t="shared" si="1"/>
        <v>OK</v>
      </c>
    </row>
    <row r="27" spans="1:10" ht="14.1" customHeight="1">
      <c r="A27" s="24" t="str">
        <f>'t1'!A27</f>
        <v>POSIZIONE ECONOMICA C4</v>
      </c>
      <c r="B27" s="186" t="str">
        <f>'t1'!B27</f>
        <v>045000</v>
      </c>
      <c r="C27" s="334">
        <f>'t1'!C27+'t1'!D27</f>
        <v>0</v>
      </c>
      <c r="D27" s="334">
        <f>'t5'!S28+'t5'!T28</f>
        <v>0</v>
      </c>
      <c r="E27" s="335">
        <f>'t6'!U28+'t6'!V28</f>
        <v>0</v>
      </c>
      <c r="F27" s="335">
        <f>'t4'!AU27</f>
        <v>0</v>
      </c>
      <c r="G27" s="335">
        <f>'t4'!X50</f>
        <v>0</v>
      </c>
      <c r="H27" s="335">
        <f t="shared" si="0"/>
        <v>0</v>
      </c>
      <c r="I27" s="335">
        <f>'t1'!L27+'t1'!M27</f>
        <v>0</v>
      </c>
      <c r="J27" s="103" t="str">
        <f t="shared" si="1"/>
        <v>OK</v>
      </c>
    </row>
    <row r="28" spans="1:10" ht="14.1" customHeight="1">
      <c r="A28" s="24" t="str">
        <f>'t1'!A28</f>
        <v>POSIZIONE ECONOMICA C3</v>
      </c>
      <c r="B28" s="186" t="str">
        <f>'t1'!B28</f>
        <v>043000</v>
      </c>
      <c r="C28" s="334">
        <f>'t1'!C28+'t1'!D28</f>
        <v>0</v>
      </c>
      <c r="D28" s="334">
        <f>'t5'!S29+'t5'!T29</f>
        <v>0</v>
      </c>
      <c r="E28" s="335">
        <f>'t6'!U29+'t6'!V29</f>
        <v>0</v>
      </c>
      <c r="F28" s="335">
        <f>'t4'!AU28</f>
        <v>0</v>
      </c>
      <c r="G28" s="335">
        <f>'t4'!Y50</f>
        <v>0</v>
      </c>
      <c r="H28" s="335">
        <f t="shared" si="0"/>
        <v>0</v>
      </c>
      <c r="I28" s="335">
        <f>'t1'!L28+'t1'!M28</f>
        <v>0</v>
      </c>
      <c r="J28" s="103" t="str">
        <f t="shared" si="1"/>
        <v>OK</v>
      </c>
    </row>
    <row r="29" spans="1:10" ht="14.1" customHeight="1">
      <c r="A29" s="24" t="str">
        <f>'t1'!A29</f>
        <v>POSIZIONE ECONOMICA C2</v>
      </c>
      <c r="B29" s="186" t="str">
        <f>'t1'!B29</f>
        <v>042000</v>
      </c>
      <c r="C29" s="334">
        <f>'t1'!C29+'t1'!D29</f>
        <v>1</v>
      </c>
      <c r="D29" s="334">
        <f>'t5'!S30+'t5'!T30</f>
        <v>0</v>
      </c>
      <c r="E29" s="335">
        <f>'t6'!U30+'t6'!V30</f>
        <v>0</v>
      </c>
      <c r="F29" s="335">
        <f>'t4'!AU29</f>
        <v>0</v>
      </c>
      <c r="G29" s="335">
        <f>'t4'!Z50</f>
        <v>0</v>
      </c>
      <c r="H29" s="335">
        <f t="shared" si="0"/>
        <v>1</v>
      </c>
      <c r="I29" s="335">
        <f>'t1'!L29+'t1'!M29</f>
        <v>1</v>
      </c>
      <c r="J29" s="103" t="str">
        <f t="shared" si="1"/>
        <v>OK</v>
      </c>
    </row>
    <row r="30" spans="1:10" ht="14.1" customHeight="1">
      <c r="A30" s="24" t="str">
        <f>'t1'!A30</f>
        <v>POSIZIONE ECONOMICA DI ACCESSO C1</v>
      </c>
      <c r="B30" s="186" t="str">
        <f>'t1'!B30</f>
        <v>056000</v>
      </c>
      <c r="C30" s="334">
        <f>'t1'!C30+'t1'!D30</f>
        <v>2</v>
      </c>
      <c r="D30" s="334">
        <f>'t5'!S31+'t5'!T31</f>
        <v>2</v>
      </c>
      <c r="E30" s="335">
        <f>'t6'!U31+'t6'!V31</f>
        <v>2</v>
      </c>
      <c r="F30" s="335">
        <f>'t4'!AU30</f>
        <v>0</v>
      </c>
      <c r="G30" s="335">
        <f>'t4'!AA50</f>
        <v>0</v>
      </c>
      <c r="H30" s="335">
        <f t="shared" si="0"/>
        <v>2</v>
      </c>
      <c r="I30" s="335">
        <f>'t1'!L30+'t1'!M30</f>
        <v>2</v>
      </c>
      <c r="J30" s="103" t="str">
        <f t="shared" si="1"/>
        <v>OK</v>
      </c>
    </row>
    <row r="31" spans="1:10" ht="14.1" customHeight="1">
      <c r="A31" s="24" t="str">
        <f>'t1'!A31</f>
        <v>POSIZ. ECON. B7 - PROFILO ACCESSO B3</v>
      </c>
      <c r="B31" s="186" t="str">
        <f>'t1'!B31</f>
        <v>0B7A00</v>
      </c>
      <c r="C31" s="334">
        <f>'t1'!C31+'t1'!D31</f>
        <v>0</v>
      </c>
      <c r="D31" s="334">
        <f>'t5'!S32+'t5'!T32</f>
        <v>0</v>
      </c>
      <c r="E31" s="335">
        <f>'t6'!U32+'t6'!V32</f>
        <v>0</v>
      </c>
      <c r="F31" s="335">
        <f>'t4'!AU31</f>
        <v>0</v>
      </c>
      <c r="G31" s="335">
        <f>'t4'!AB50</f>
        <v>0</v>
      </c>
      <c r="H31" s="335">
        <f t="shared" si="0"/>
        <v>0</v>
      </c>
      <c r="I31" s="335">
        <f>'t1'!L31+'t1'!M31</f>
        <v>0</v>
      </c>
      <c r="J31" s="103" t="str">
        <f t="shared" si="1"/>
        <v>OK</v>
      </c>
    </row>
    <row r="32" spans="1:10" ht="14.1" customHeight="1">
      <c r="A32" s="24" t="str">
        <f>'t1'!A32</f>
        <v>POSIZ. ECON. B7 - PROFILO  ACCESSO B1</v>
      </c>
      <c r="B32" s="186" t="str">
        <f>'t1'!B32</f>
        <v>0B7000</v>
      </c>
      <c r="C32" s="334">
        <f>'t1'!C32+'t1'!D32</f>
        <v>0</v>
      </c>
      <c r="D32" s="334">
        <f>'t5'!S33+'t5'!T33</f>
        <v>0</v>
      </c>
      <c r="E32" s="335">
        <f>'t6'!U33+'t6'!V33</f>
        <v>0</v>
      </c>
      <c r="F32" s="335">
        <f>'t4'!AU32</f>
        <v>0</v>
      </c>
      <c r="G32" s="335">
        <f>'t4'!AC50</f>
        <v>0</v>
      </c>
      <c r="H32" s="335">
        <f t="shared" si="0"/>
        <v>0</v>
      </c>
      <c r="I32" s="335">
        <f>'t1'!L32+'t1'!M32</f>
        <v>0</v>
      </c>
      <c r="J32" s="103" t="str">
        <f t="shared" si="1"/>
        <v>OK</v>
      </c>
    </row>
    <row r="33" spans="1:10" ht="14.1" customHeight="1">
      <c r="A33" s="24" t="str">
        <f>'t1'!A33</f>
        <v>POSIZ. ECON. B6 PROFILI ACCESSO B3</v>
      </c>
      <c r="B33" s="186" t="str">
        <f>'t1'!B33</f>
        <v>038490</v>
      </c>
      <c r="C33" s="334">
        <f>'t1'!C33+'t1'!D33</f>
        <v>0</v>
      </c>
      <c r="D33" s="334">
        <f>'t5'!S34+'t5'!T34</f>
        <v>0</v>
      </c>
      <c r="E33" s="335">
        <f>'t6'!U34+'t6'!V34</f>
        <v>0</v>
      </c>
      <c r="F33" s="335">
        <f>'t4'!AU33</f>
        <v>0</v>
      </c>
      <c r="G33" s="335">
        <f>'t4'!AD50</f>
        <v>0</v>
      </c>
      <c r="H33" s="335">
        <f t="shared" si="0"/>
        <v>0</v>
      </c>
      <c r="I33" s="335">
        <f>'t1'!L33+'t1'!M33</f>
        <v>0</v>
      </c>
      <c r="J33" s="103" t="str">
        <f t="shared" si="1"/>
        <v>OK</v>
      </c>
    </row>
    <row r="34" spans="1:10" ht="14.1" customHeight="1">
      <c r="A34" s="24" t="str">
        <f>'t1'!A34</f>
        <v>POSIZ. ECON. B6 PROFILI ACCESSO B1</v>
      </c>
      <c r="B34" s="186" t="str">
        <f>'t1'!B34</f>
        <v>038491</v>
      </c>
      <c r="C34" s="334">
        <f>'t1'!C34+'t1'!D34</f>
        <v>0</v>
      </c>
      <c r="D34" s="334">
        <f>'t5'!S35+'t5'!T35</f>
        <v>0</v>
      </c>
      <c r="E34" s="335">
        <f>'t6'!U35+'t6'!V35</f>
        <v>0</v>
      </c>
      <c r="F34" s="335">
        <f>'t4'!AU34</f>
        <v>0</v>
      </c>
      <c r="G34" s="335">
        <f>'t4'!AE50</f>
        <v>0</v>
      </c>
      <c r="H34" s="335">
        <f t="shared" si="0"/>
        <v>0</v>
      </c>
      <c r="I34" s="335">
        <f>'t1'!L34+'t1'!M34</f>
        <v>0</v>
      </c>
      <c r="J34" s="103" t="str">
        <f t="shared" si="1"/>
        <v>OK</v>
      </c>
    </row>
    <row r="35" spans="1:10" ht="14.1" customHeight="1">
      <c r="A35" s="24" t="str">
        <f>'t1'!A35</f>
        <v>POSIZ. ECON. B5 PROFILI ACCESSO B3</v>
      </c>
      <c r="B35" s="186" t="str">
        <f>'t1'!B35</f>
        <v>037492</v>
      </c>
      <c r="C35" s="334">
        <f>'t1'!C35+'t1'!D35</f>
        <v>0</v>
      </c>
      <c r="D35" s="334">
        <f>'t5'!S36+'t5'!T36</f>
        <v>0</v>
      </c>
      <c r="E35" s="335">
        <f>'t6'!U36+'t6'!V36</f>
        <v>0</v>
      </c>
      <c r="F35" s="335">
        <f>'t4'!AU35</f>
        <v>0</v>
      </c>
      <c r="G35" s="335">
        <f>'t4'!AF50</f>
        <v>0</v>
      </c>
      <c r="H35" s="335">
        <f t="shared" si="0"/>
        <v>0</v>
      </c>
      <c r="I35" s="335">
        <f>'t1'!L35+'t1'!M35</f>
        <v>0</v>
      </c>
      <c r="J35" s="103" t="str">
        <f t="shared" si="1"/>
        <v>OK</v>
      </c>
    </row>
    <row r="36" spans="1:10" ht="14.1" customHeight="1">
      <c r="A36" s="24" t="str">
        <f>'t1'!A36</f>
        <v>POSIZ. ECON. B5 PROFILI ACCESSO B1</v>
      </c>
      <c r="B36" s="186" t="str">
        <f>'t1'!B36</f>
        <v>037493</v>
      </c>
      <c r="C36" s="334">
        <f>'t1'!C36+'t1'!D36</f>
        <v>0</v>
      </c>
      <c r="D36" s="334">
        <f>'t5'!S37+'t5'!T37</f>
        <v>0</v>
      </c>
      <c r="E36" s="335">
        <f>'t6'!U37+'t6'!V37</f>
        <v>0</v>
      </c>
      <c r="F36" s="335">
        <f>'t4'!AU36</f>
        <v>0</v>
      </c>
      <c r="G36" s="335">
        <f>'t4'!AG50</f>
        <v>0</v>
      </c>
      <c r="H36" s="335">
        <f t="shared" si="0"/>
        <v>0</v>
      </c>
      <c r="I36" s="335">
        <f>'t1'!L36+'t1'!M36</f>
        <v>0</v>
      </c>
      <c r="J36" s="103" t="str">
        <f t="shared" si="1"/>
        <v>OK</v>
      </c>
    </row>
    <row r="37" spans="1:10" ht="14.1" customHeight="1">
      <c r="A37" s="24" t="str">
        <f>'t1'!A37</f>
        <v>POSIZ. ECON. B4 PROFILI ACCESSO B3</v>
      </c>
      <c r="B37" s="186" t="str">
        <f>'t1'!B37</f>
        <v>036494</v>
      </c>
      <c r="C37" s="334">
        <f>'t1'!C37+'t1'!D37</f>
        <v>0</v>
      </c>
      <c r="D37" s="334">
        <f>'t5'!S38+'t5'!T38</f>
        <v>0</v>
      </c>
      <c r="E37" s="335">
        <f>'t6'!U38+'t6'!V38</f>
        <v>0</v>
      </c>
      <c r="F37" s="335">
        <f>'t4'!AU37</f>
        <v>0</v>
      </c>
      <c r="G37" s="335">
        <f>'t4'!AH50</f>
        <v>0</v>
      </c>
      <c r="H37" s="335">
        <f t="shared" si="0"/>
        <v>0</v>
      </c>
      <c r="I37" s="335">
        <f>'t1'!L37+'t1'!M37</f>
        <v>0</v>
      </c>
      <c r="J37" s="103" t="str">
        <f t="shared" si="1"/>
        <v>OK</v>
      </c>
    </row>
    <row r="38" spans="1:10" ht="14.1" customHeight="1">
      <c r="A38" s="24" t="str">
        <f>'t1'!A38</f>
        <v>POSIZ. ECON. B4 PROFILI ACCESSO B1</v>
      </c>
      <c r="B38" s="186" t="str">
        <f>'t1'!B38</f>
        <v>036495</v>
      </c>
      <c r="C38" s="334">
        <f>'t1'!C38+'t1'!D38</f>
        <v>0</v>
      </c>
      <c r="D38" s="334">
        <f>'t5'!S39+'t5'!T39</f>
        <v>0</v>
      </c>
      <c r="E38" s="335">
        <f>'t6'!U39+'t6'!V39</f>
        <v>0</v>
      </c>
      <c r="F38" s="335">
        <f>'t4'!AU38</f>
        <v>0</v>
      </c>
      <c r="G38" s="335">
        <f>'t4'!AI50</f>
        <v>0</v>
      </c>
      <c r="H38" s="335">
        <f t="shared" si="0"/>
        <v>0</v>
      </c>
      <c r="I38" s="335">
        <f>'t1'!L38+'t1'!M38</f>
        <v>0</v>
      </c>
      <c r="J38" s="103" t="str">
        <f t="shared" si="1"/>
        <v>OK</v>
      </c>
    </row>
    <row r="39" spans="1:10" ht="14.1" customHeight="1">
      <c r="A39" s="24" t="str">
        <f>'t1'!A39</f>
        <v>POSIZIONE ECONOMICA DI ACCESSO B3</v>
      </c>
      <c r="B39" s="186" t="str">
        <f>'t1'!B39</f>
        <v>055000</v>
      </c>
      <c r="C39" s="334">
        <f>'t1'!C39+'t1'!D39</f>
        <v>0</v>
      </c>
      <c r="D39" s="334">
        <f>'t5'!S40+'t5'!T40</f>
        <v>0</v>
      </c>
      <c r="E39" s="335">
        <f>'t6'!U40+'t6'!V40</f>
        <v>0</v>
      </c>
      <c r="F39" s="335">
        <f>'t4'!AU39</f>
        <v>0</v>
      </c>
      <c r="G39" s="335">
        <f>'t4'!AJ50</f>
        <v>0</v>
      </c>
      <c r="H39" s="335">
        <f t="shared" si="0"/>
        <v>0</v>
      </c>
      <c r="I39" s="335">
        <f>'t1'!L39+'t1'!M39</f>
        <v>0</v>
      </c>
      <c r="J39" s="103" t="str">
        <f t="shared" si="1"/>
        <v>OK</v>
      </c>
    </row>
    <row r="40" spans="1:10" ht="14.1" customHeight="1">
      <c r="A40" s="24" t="str">
        <f>'t1'!A40</f>
        <v>POSIZIONE ECONOMICA B3</v>
      </c>
      <c r="B40" s="186" t="str">
        <f>'t1'!B40</f>
        <v>034000</v>
      </c>
      <c r="C40" s="334">
        <f>'t1'!C40+'t1'!D40</f>
        <v>0</v>
      </c>
      <c r="D40" s="334">
        <f>'t5'!S41+'t5'!T41</f>
        <v>0</v>
      </c>
      <c r="E40" s="335">
        <f>'t6'!U41+'t6'!V41</f>
        <v>0</v>
      </c>
      <c r="F40" s="335">
        <f>'t4'!AU40</f>
        <v>0</v>
      </c>
      <c r="G40" s="335">
        <f>'t4'!AK50</f>
        <v>0</v>
      </c>
      <c r="H40" s="335">
        <f t="shared" si="0"/>
        <v>0</v>
      </c>
      <c r="I40" s="335">
        <f>'t1'!L40+'t1'!M40</f>
        <v>0</v>
      </c>
      <c r="J40" s="103" t="str">
        <f t="shared" si="1"/>
        <v>OK</v>
      </c>
    </row>
    <row r="41" spans="1:10" ht="14.1" customHeight="1">
      <c r="A41" s="24" t="str">
        <f>'t1'!A41</f>
        <v>POSIZIONE ECONOMICA B2</v>
      </c>
      <c r="B41" s="186" t="str">
        <f>'t1'!B41</f>
        <v>032000</v>
      </c>
      <c r="C41" s="334">
        <f>'t1'!C41+'t1'!D41</f>
        <v>0</v>
      </c>
      <c r="D41" s="334">
        <f>'t5'!S42+'t5'!T42</f>
        <v>0</v>
      </c>
      <c r="E41" s="335">
        <f>'t6'!U42+'t6'!V42</f>
        <v>0</v>
      </c>
      <c r="F41" s="335">
        <f>'t4'!AU41</f>
        <v>0</v>
      </c>
      <c r="G41" s="335">
        <f>'t4'!AL50</f>
        <v>0</v>
      </c>
      <c r="H41" s="335">
        <f t="shared" ref="H41:H49" si="2">C41-D41+E41-F41+G41</f>
        <v>0</v>
      </c>
      <c r="I41" s="335">
        <f>'t1'!L41+'t1'!M41</f>
        <v>0</v>
      </c>
      <c r="J41" s="103" t="str">
        <f t="shared" ref="J41:J49" si="3">IF(H41=I41,"OK","ERRORE")</f>
        <v>OK</v>
      </c>
    </row>
    <row r="42" spans="1:10" ht="14.1" customHeight="1">
      <c r="A42" s="24" t="str">
        <f>'t1'!A42</f>
        <v>POSIZIONE ECONOMICA DI ACCESSO B1</v>
      </c>
      <c r="B42" s="186" t="str">
        <f>'t1'!B42</f>
        <v>054000</v>
      </c>
      <c r="C42" s="334">
        <f>'t1'!C42+'t1'!D42</f>
        <v>0</v>
      </c>
      <c r="D42" s="334">
        <f>'t5'!S43+'t5'!T43</f>
        <v>0</v>
      </c>
      <c r="E42" s="335">
        <f>'t6'!U43+'t6'!V43</f>
        <v>0</v>
      </c>
      <c r="F42" s="335">
        <f>'t4'!AU42</f>
        <v>0</v>
      </c>
      <c r="G42" s="335">
        <f>'t4'!AM50</f>
        <v>0</v>
      </c>
      <c r="H42" s="335">
        <f t="shared" si="2"/>
        <v>0</v>
      </c>
      <c r="I42" s="335">
        <f>'t1'!L42+'t1'!M42</f>
        <v>0</v>
      </c>
      <c r="J42" s="103" t="str">
        <f t="shared" si="3"/>
        <v>OK</v>
      </c>
    </row>
    <row r="43" spans="1:10" ht="14.1" customHeight="1">
      <c r="A43" s="24" t="str">
        <f>'t1'!A43</f>
        <v>POSIZIONE ECONOMICA A5</v>
      </c>
      <c r="B43" s="186" t="str">
        <f>'t1'!B43</f>
        <v>0A5000</v>
      </c>
      <c r="C43" s="334">
        <f>'t1'!C43+'t1'!D43</f>
        <v>0</v>
      </c>
      <c r="D43" s="334">
        <f>'t5'!S44+'t5'!T44</f>
        <v>0</v>
      </c>
      <c r="E43" s="335">
        <f>'t6'!U44+'t6'!V44</f>
        <v>0</v>
      </c>
      <c r="F43" s="335">
        <f>'t4'!AU43</f>
        <v>0</v>
      </c>
      <c r="G43" s="335">
        <f>'t4'!AN50</f>
        <v>0</v>
      </c>
      <c r="H43" s="335">
        <f t="shared" si="2"/>
        <v>0</v>
      </c>
      <c r="I43" s="335">
        <f>'t1'!L43+'t1'!M43</f>
        <v>0</v>
      </c>
      <c r="J43" s="103" t="str">
        <f t="shared" si="3"/>
        <v>OK</v>
      </c>
    </row>
    <row r="44" spans="1:10" ht="14.1" customHeight="1">
      <c r="A44" s="24" t="str">
        <f>'t1'!A44</f>
        <v>POSIZIONE ECONOMICA A4</v>
      </c>
      <c r="B44" s="186" t="str">
        <f>'t1'!B44</f>
        <v>028000</v>
      </c>
      <c r="C44" s="334">
        <f>'t1'!C44+'t1'!D44</f>
        <v>0</v>
      </c>
      <c r="D44" s="334">
        <f>'t5'!S45+'t5'!T45</f>
        <v>0</v>
      </c>
      <c r="E44" s="335">
        <f>'t6'!U45+'t6'!V45</f>
        <v>0</v>
      </c>
      <c r="F44" s="335">
        <f>'t4'!AU44</f>
        <v>0</v>
      </c>
      <c r="G44" s="335">
        <f>'t4'!AO50</f>
        <v>0</v>
      </c>
      <c r="H44" s="335">
        <f t="shared" si="2"/>
        <v>0</v>
      </c>
      <c r="I44" s="335">
        <f>'t1'!L44+'t1'!M44</f>
        <v>0</v>
      </c>
      <c r="J44" s="103" t="str">
        <f t="shared" si="3"/>
        <v>OK</v>
      </c>
    </row>
    <row r="45" spans="1:10" ht="14.1" customHeight="1">
      <c r="A45" s="24" t="str">
        <f>'t1'!A45</f>
        <v>POSIZIONE ECONOMICA A3</v>
      </c>
      <c r="B45" s="186" t="str">
        <f>'t1'!B45</f>
        <v>027000</v>
      </c>
      <c r="C45" s="334">
        <f>'t1'!C45+'t1'!D45</f>
        <v>0</v>
      </c>
      <c r="D45" s="334">
        <f>'t5'!S46+'t5'!T46</f>
        <v>0</v>
      </c>
      <c r="E45" s="335">
        <f>'t6'!U46+'t6'!V46</f>
        <v>0</v>
      </c>
      <c r="F45" s="335">
        <f>'t4'!AU45</f>
        <v>0</v>
      </c>
      <c r="G45" s="335">
        <f>'t4'!AP50</f>
        <v>0</v>
      </c>
      <c r="H45" s="335">
        <f t="shared" si="2"/>
        <v>0</v>
      </c>
      <c r="I45" s="335">
        <f>'t1'!L45+'t1'!M45</f>
        <v>0</v>
      </c>
      <c r="J45" s="103" t="str">
        <f t="shared" si="3"/>
        <v>OK</v>
      </c>
    </row>
    <row r="46" spans="1:10" ht="14.1" customHeight="1">
      <c r="A46" s="24" t="str">
        <f>'t1'!A46</f>
        <v>POSIZIONE ECONOMICA A2</v>
      </c>
      <c r="B46" s="186" t="str">
        <f>'t1'!B46</f>
        <v>025000</v>
      </c>
      <c r="C46" s="334">
        <f>'t1'!C46+'t1'!D46</f>
        <v>0</v>
      </c>
      <c r="D46" s="334">
        <f>'t5'!S47+'t5'!T47</f>
        <v>0</v>
      </c>
      <c r="E46" s="335">
        <f>'t6'!U47+'t6'!V47</f>
        <v>0</v>
      </c>
      <c r="F46" s="335">
        <f>'t4'!AU46</f>
        <v>0</v>
      </c>
      <c r="G46" s="335">
        <f>'t4'!AQ50</f>
        <v>0</v>
      </c>
      <c r="H46" s="335">
        <f t="shared" si="2"/>
        <v>0</v>
      </c>
      <c r="I46" s="335">
        <f>'t1'!L46+'t1'!M46</f>
        <v>0</v>
      </c>
      <c r="J46" s="103" t="str">
        <f t="shared" si="3"/>
        <v>OK</v>
      </c>
    </row>
    <row r="47" spans="1:10" ht="14.1" customHeight="1">
      <c r="A47" s="24" t="str">
        <f>'t1'!A47</f>
        <v>POSIZIONE ECONOMICA DI ACCESSO A1</v>
      </c>
      <c r="B47" s="186" t="str">
        <f>'t1'!B47</f>
        <v>053000</v>
      </c>
      <c r="C47" s="334">
        <f>'t1'!C47+'t1'!D47</f>
        <v>0</v>
      </c>
      <c r="D47" s="334">
        <f>'t5'!S48+'t5'!T48</f>
        <v>0</v>
      </c>
      <c r="E47" s="335">
        <f>'t6'!U48+'t6'!V48</f>
        <v>0</v>
      </c>
      <c r="F47" s="335">
        <f>'t4'!AU47</f>
        <v>0</v>
      </c>
      <c r="G47" s="335">
        <f>'t4'!AR50</f>
        <v>0</v>
      </c>
      <c r="H47" s="335">
        <f t="shared" si="2"/>
        <v>0</v>
      </c>
      <c r="I47" s="335">
        <f>'t1'!L47+'t1'!M47</f>
        <v>0</v>
      </c>
      <c r="J47" s="103" t="str">
        <f t="shared" si="3"/>
        <v>OK</v>
      </c>
    </row>
    <row r="48" spans="1:10" ht="14.1" customHeight="1">
      <c r="A48" s="24" t="str">
        <f>'t1'!A48</f>
        <v>CONTRATTISTI (a)</v>
      </c>
      <c r="B48" s="186" t="str">
        <f>'t1'!B48</f>
        <v>000061</v>
      </c>
      <c r="C48" s="334">
        <f>'t1'!C48+'t1'!D48</f>
        <v>0</v>
      </c>
      <c r="D48" s="334">
        <f>'t5'!S49+'t5'!T49</f>
        <v>0</v>
      </c>
      <c r="E48" s="335">
        <f>'t6'!U49+'t6'!V49</f>
        <v>0</v>
      </c>
      <c r="F48" s="335">
        <f>'t4'!AU48</f>
        <v>0</v>
      </c>
      <c r="G48" s="335">
        <f>'t4'!AS50</f>
        <v>0</v>
      </c>
      <c r="H48" s="335">
        <f>C48-D48+E48-F48+G48</f>
        <v>0</v>
      </c>
      <c r="I48" s="335">
        <f>'t1'!L48+'t1'!M48</f>
        <v>0</v>
      </c>
      <c r="J48" s="103" t="str">
        <f>IF(H48=I48,"OK","ERRORE")</f>
        <v>OK</v>
      </c>
    </row>
    <row r="49" spans="1:20" ht="14.1" customHeight="1">
      <c r="A49" s="24" t="str">
        <f>'t1'!A49</f>
        <v>COLLABORATORE A T.D. ART. 90 TUEL (b)</v>
      </c>
      <c r="B49" s="186" t="str">
        <f>'t1'!B49</f>
        <v>000096</v>
      </c>
      <c r="C49" s="334">
        <f>'t1'!C49+'t1'!D49</f>
        <v>0</v>
      </c>
      <c r="D49" s="334">
        <f>'t5'!S50+'t5'!T50</f>
        <v>0</v>
      </c>
      <c r="E49" s="335">
        <f>'t6'!U50+'t6'!V50</f>
        <v>0</v>
      </c>
      <c r="F49" s="335">
        <f>'t4'!AU49</f>
        <v>0</v>
      </c>
      <c r="G49" s="335">
        <f>'t4'!AT50</f>
        <v>0</v>
      </c>
      <c r="H49" s="335">
        <f t="shared" si="2"/>
        <v>0</v>
      </c>
      <c r="I49" s="335">
        <f>'t1'!L49+'t1'!M49</f>
        <v>0</v>
      </c>
      <c r="J49" s="103" t="str">
        <f t="shared" si="3"/>
        <v>OK</v>
      </c>
    </row>
    <row r="50" spans="1:20" s="341" customFormat="1" ht="15.75" customHeight="1">
      <c r="A50" s="359" t="str">
        <f>'t1'!A50</f>
        <v>TOTALE</v>
      </c>
      <c r="B50" s="205"/>
      <c r="C50" s="360">
        <f t="shared" ref="C50:I50" si="4">SUM(C6:C49)</f>
        <v>4</v>
      </c>
      <c r="D50" s="360">
        <f t="shared" si="4"/>
        <v>4</v>
      </c>
      <c r="E50" s="360">
        <f t="shared" si="4"/>
        <v>4</v>
      </c>
      <c r="F50" s="360">
        <f t="shared" si="4"/>
        <v>0</v>
      </c>
      <c r="G50" s="360">
        <f t="shared" si="4"/>
        <v>0</v>
      </c>
      <c r="H50" s="360">
        <f t="shared" si="4"/>
        <v>4</v>
      </c>
      <c r="I50" s="360">
        <f t="shared" si="4"/>
        <v>4</v>
      </c>
      <c r="J50" s="361" t="str">
        <f t="shared" si="1"/>
        <v>OK</v>
      </c>
    </row>
    <row r="55" spans="1:20">
      <c r="F55" s="356"/>
      <c r="G55" s="356"/>
      <c r="H55" s="356"/>
      <c r="I55" s="356"/>
      <c r="J55" s="356"/>
      <c r="K55" s="357"/>
      <c r="L55" s="357"/>
      <c r="M55" s="357"/>
      <c r="N55" s="357"/>
      <c r="O55" s="357"/>
      <c r="P55" s="357"/>
      <c r="Q55" s="357"/>
      <c r="R55" s="357"/>
      <c r="S55" s="357"/>
      <c r="T55" s="357"/>
    </row>
    <row r="59" spans="1:20">
      <c r="G59" s="356"/>
    </row>
    <row r="60" spans="1:20">
      <c r="G60" s="356"/>
    </row>
    <row r="61" spans="1:20">
      <c r="G61" s="356"/>
    </row>
    <row r="62" spans="1:20">
      <c r="G62" s="356"/>
    </row>
    <row r="63" spans="1:20">
      <c r="G63" s="356"/>
    </row>
    <row r="64" spans="1:20">
      <c r="G64" s="357"/>
    </row>
    <row r="65" spans="7:7">
      <c r="G65" s="357"/>
    </row>
    <row r="66" spans="7:7">
      <c r="G66" s="357"/>
    </row>
    <row r="67" spans="7:7">
      <c r="G67" s="357"/>
    </row>
    <row r="68" spans="7:7">
      <c r="G68" s="357"/>
    </row>
    <row r="69" spans="7:7">
      <c r="G69" s="357"/>
    </row>
    <row r="70" spans="7:7">
      <c r="G70" s="357"/>
    </row>
    <row r="71" spans="7:7">
      <c r="G71" s="357"/>
    </row>
    <row r="72" spans="7:7">
      <c r="G72" s="357"/>
    </row>
    <row r="73" spans="7:7">
      <c r="G73" s="357"/>
    </row>
  </sheetData>
  <sheetProtection password="EA98" sheet="1" formatColumns="0" selectLockedCells="1" selectUnlockedCells="1"/>
  <dataConsolidate/>
  <mergeCells count="2">
    <mergeCell ref="A1:H1"/>
    <mergeCell ref="D2:J2"/>
  </mergeCells>
  <phoneticPr fontId="30" type="noConversion"/>
  <printOptions horizontalCentered="1" verticalCentered="1"/>
  <pageMargins left="0" right="0" top="0.17" bottom="0.16" header="0.19" footer="0.19"/>
  <pageSetup paperSize="9" scale="75" orientation="landscape" horizontalDpi="300" verticalDpi="4294967292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3">
    <pageSetUpPr fitToPage="1"/>
  </sheetPr>
  <dimension ref="A1:M51"/>
  <sheetViews>
    <sheetView showGridLines="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28515625" defaultRowHeight="10.199999999999999"/>
  <cols>
    <col min="1" max="1" width="35.85546875" style="5" customWidth="1"/>
    <col min="2" max="2" width="12.42578125" style="7" customWidth="1"/>
    <col min="3" max="3" width="11" style="7" customWidth="1"/>
    <col min="4" max="5" width="12.42578125" style="7" customWidth="1"/>
    <col min="6" max="7" width="10.85546875" style="7" customWidth="1"/>
    <col min="8" max="8" width="11" style="7" customWidth="1"/>
    <col min="9" max="10" width="12.42578125" style="7" customWidth="1"/>
    <col min="11" max="11" width="10.85546875" style="7" customWidth="1"/>
    <col min="12" max="12" width="10.85546875" style="5" customWidth="1"/>
    <col min="13" max="16384" width="9.28515625" style="5"/>
  </cols>
  <sheetData>
    <row r="1" spans="1:13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3"/>
      <c r="L1" s="311"/>
      <c r="M1"/>
    </row>
    <row r="2" spans="1:13" ht="21" customHeight="1">
      <c r="B2" s="5"/>
      <c r="C2" s="5"/>
      <c r="D2" s="5"/>
      <c r="E2" s="1524"/>
      <c r="F2" s="1524"/>
      <c r="G2" s="1524"/>
      <c r="H2" s="1524"/>
      <c r="I2" s="1524"/>
      <c r="J2" s="1524"/>
      <c r="K2" s="1524"/>
      <c r="L2" s="1524"/>
      <c r="M2"/>
    </row>
    <row r="3" spans="1:13" ht="21" customHeight="1">
      <c r="A3" s="196" t="str">
        <f>"Tavola di coerenza tra presenti al 31.12."&amp;'t1'!M1&amp;" rilevati nelle Tabelle 1, 7, 8 e 9 (Squadratura 2)"</f>
        <v>Tavola di coerenza tra presenti al 31.12.2017 rilevati nelle Tabelle 1, 7, 8 e 9 (Squadratura 2)</v>
      </c>
      <c r="C3" s="5"/>
      <c r="D3" s="5"/>
      <c r="E3" s="5"/>
      <c r="F3" s="5"/>
      <c r="G3" s="5"/>
      <c r="H3" s="5"/>
      <c r="I3" s="5"/>
      <c r="J3" s="5"/>
      <c r="K3" s="5"/>
    </row>
    <row r="4" spans="1:13" s="102" customFormat="1" ht="11.25" customHeight="1">
      <c r="A4" s="188"/>
      <c r="B4" s="188"/>
      <c r="C4" s="1525" t="s">
        <v>293</v>
      </c>
      <c r="D4" s="1526"/>
      <c r="E4" s="1526"/>
      <c r="F4" s="1526"/>
      <c r="G4" s="1527"/>
      <c r="H4" s="1525" t="s">
        <v>294</v>
      </c>
      <c r="I4" s="1526"/>
      <c r="J4" s="1526"/>
      <c r="K4" s="1526"/>
      <c r="L4" s="1527"/>
    </row>
    <row r="5" spans="1:13" ht="70.5" customHeight="1">
      <c r="A5" s="178" t="s">
        <v>233</v>
      </c>
      <c r="B5" s="178" t="s">
        <v>232</v>
      </c>
      <c r="C5" s="187" t="str">
        <f>"Presenti 31.12."&amp;'t1'!M1&amp;" (Tab 1)"</f>
        <v>Presenti 31.12.2017 (Tab 1)</v>
      </c>
      <c r="D5" s="183" t="s">
        <v>243</v>
      </c>
      <c r="E5" s="183" t="s">
        <v>244</v>
      </c>
      <c r="F5" s="183" t="s">
        <v>32</v>
      </c>
      <c r="G5" s="183" t="s">
        <v>242</v>
      </c>
      <c r="H5" s="187" t="str">
        <f>"Presenti 31.12."&amp;'t1'!M1&amp;" (Tab 1)"</f>
        <v>Presenti 31.12.2017 (Tab 1)</v>
      </c>
      <c r="I5" s="183" t="s">
        <v>243</v>
      </c>
      <c r="J5" s="183" t="s">
        <v>244</v>
      </c>
      <c r="K5" s="183" t="s">
        <v>32</v>
      </c>
      <c r="L5" s="183" t="s">
        <v>242</v>
      </c>
    </row>
    <row r="6" spans="1:13">
      <c r="A6" s="179"/>
      <c r="B6" s="179"/>
      <c r="C6" s="189" t="s">
        <v>234</v>
      </c>
      <c r="D6" s="189" t="s">
        <v>235</v>
      </c>
      <c r="E6" s="189" t="s">
        <v>236</v>
      </c>
      <c r="F6" s="189" t="s">
        <v>237</v>
      </c>
      <c r="G6" s="190" t="s">
        <v>260</v>
      </c>
      <c r="H6" s="189" t="s">
        <v>238</v>
      </c>
      <c r="I6" s="189" t="s">
        <v>258</v>
      </c>
      <c r="J6" s="189" t="s">
        <v>240</v>
      </c>
      <c r="K6" s="189" t="s">
        <v>248</v>
      </c>
      <c r="L6" s="190" t="s">
        <v>261</v>
      </c>
    </row>
    <row r="7" spans="1:13" ht="14.1" customHeight="1">
      <c r="A7" s="139" t="str">
        <f>'t1'!A6</f>
        <v>SEGRETARIO A</v>
      </c>
      <c r="B7" s="186" t="str">
        <f>'t1'!B6</f>
        <v>0D0102</v>
      </c>
      <c r="C7" s="334">
        <f>'t1'!L6</f>
        <v>0</v>
      </c>
      <c r="D7" s="334">
        <f>'t7'!W6</f>
        <v>0</v>
      </c>
      <c r="E7" s="335">
        <f>'t8'!AA6</f>
        <v>0</v>
      </c>
      <c r="F7" s="335">
        <f>'t9'!O6</f>
        <v>0</v>
      </c>
      <c r="G7" s="103" t="str">
        <f>IF(COUNTIF(C7:F7,C7)=4,"OK","ERRORE")</f>
        <v>OK</v>
      </c>
      <c r="H7" s="335">
        <f>'t1'!M6</f>
        <v>0</v>
      </c>
      <c r="I7" s="335">
        <f>'t7'!X6</f>
        <v>0</v>
      </c>
      <c r="J7" s="335">
        <f>'t8'!AB6</f>
        <v>0</v>
      </c>
      <c r="K7" s="334">
        <f>'t9'!P6</f>
        <v>0</v>
      </c>
      <c r="L7" s="103" t="str">
        <f>IF(COUNTIF(H7:K7,H7)=4,"OK","ERRORE")</f>
        <v>OK</v>
      </c>
    </row>
    <row r="8" spans="1:13" ht="14.1" customHeight="1">
      <c r="A8" s="139" t="str">
        <f>'t1'!A7</f>
        <v>SEGRETARIO B</v>
      </c>
      <c r="B8" s="186" t="str">
        <f>'t1'!B7</f>
        <v>0D0103</v>
      </c>
      <c r="C8" s="334">
        <f>'t1'!L7</f>
        <v>0</v>
      </c>
      <c r="D8" s="334">
        <f>'t7'!W7</f>
        <v>0</v>
      </c>
      <c r="E8" s="335">
        <f>'t8'!AA7</f>
        <v>0</v>
      </c>
      <c r="F8" s="335">
        <f>'t9'!O7</f>
        <v>0</v>
      </c>
      <c r="G8" s="103" t="str">
        <f t="shared" ref="G8:G51" si="0">IF(COUNTIF(C8:F8,C8)=4,"OK","ERRORE")</f>
        <v>OK</v>
      </c>
      <c r="H8" s="335">
        <f>'t1'!M7</f>
        <v>0</v>
      </c>
      <c r="I8" s="335">
        <f>'t7'!X7</f>
        <v>0</v>
      </c>
      <c r="J8" s="335">
        <f>'t8'!AB7</f>
        <v>0</v>
      </c>
      <c r="K8" s="334">
        <f>'t9'!P7</f>
        <v>0</v>
      </c>
      <c r="L8" s="103" t="str">
        <f t="shared" ref="L8:L51" si="1">IF(COUNTIF(H8:K8,H8)=4,"OK","ERRORE")</f>
        <v>OK</v>
      </c>
    </row>
    <row r="9" spans="1:13" ht="14.1" customHeight="1">
      <c r="A9" s="139" t="str">
        <f>'t1'!A8</f>
        <v>SEGRETARIO C</v>
      </c>
      <c r="B9" s="186" t="str">
        <f>'t1'!B8</f>
        <v>0D0485</v>
      </c>
      <c r="C9" s="334">
        <f>'t1'!L8</f>
        <v>0</v>
      </c>
      <c r="D9" s="334">
        <f>'t7'!W8</f>
        <v>0</v>
      </c>
      <c r="E9" s="335">
        <f>'t8'!AA8</f>
        <v>0</v>
      </c>
      <c r="F9" s="335">
        <f>'t9'!O8</f>
        <v>0</v>
      </c>
      <c r="G9" s="103" t="str">
        <f t="shared" si="0"/>
        <v>OK</v>
      </c>
      <c r="H9" s="335">
        <f>'t1'!M8</f>
        <v>0</v>
      </c>
      <c r="I9" s="335">
        <f>'t7'!X8</f>
        <v>0</v>
      </c>
      <c r="J9" s="335">
        <f>'t8'!AB8</f>
        <v>0</v>
      </c>
      <c r="K9" s="334">
        <f>'t9'!P8</f>
        <v>0</v>
      </c>
      <c r="L9" s="103" t="str">
        <f t="shared" si="1"/>
        <v>OK</v>
      </c>
    </row>
    <row r="10" spans="1:13" ht="14.1" customHeight="1">
      <c r="A10" s="139" t="str">
        <f>'t1'!A9</f>
        <v>SEGRETARIO GENERALE CCIAA</v>
      </c>
      <c r="B10" s="186" t="str">
        <f>'t1'!B9</f>
        <v>0D0104</v>
      </c>
      <c r="C10" s="334">
        <f>'t1'!L9</f>
        <v>0</v>
      </c>
      <c r="D10" s="334">
        <f>'t7'!W9</f>
        <v>0</v>
      </c>
      <c r="E10" s="335">
        <f>'t8'!AA9</f>
        <v>0</v>
      </c>
      <c r="F10" s="335">
        <f>'t9'!O9</f>
        <v>0</v>
      </c>
      <c r="G10" s="103" t="str">
        <f t="shared" si="0"/>
        <v>OK</v>
      </c>
      <c r="H10" s="335">
        <f>'t1'!M9</f>
        <v>0</v>
      </c>
      <c r="I10" s="335">
        <f>'t7'!X9</f>
        <v>0</v>
      </c>
      <c r="J10" s="335">
        <f>'t8'!AB9</f>
        <v>0</v>
      </c>
      <c r="K10" s="334">
        <f>'t9'!P9</f>
        <v>0</v>
      </c>
      <c r="L10" s="103" t="str">
        <f t="shared" si="1"/>
        <v>OK</v>
      </c>
    </row>
    <row r="11" spans="1:13" ht="14.1" customHeight="1">
      <c r="A11" s="139" t="str">
        <f>'t1'!A10</f>
        <v>DIRETTORE  GENERALE</v>
      </c>
      <c r="B11" s="186" t="str">
        <f>'t1'!B10</f>
        <v>0D0097</v>
      </c>
      <c r="C11" s="334">
        <f>'t1'!L10</f>
        <v>0</v>
      </c>
      <c r="D11" s="334">
        <f>'t7'!W10</f>
        <v>0</v>
      </c>
      <c r="E11" s="335">
        <f>'t8'!AA10</f>
        <v>0</v>
      </c>
      <c r="F11" s="335">
        <f>'t9'!O10</f>
        <v>0</v>
      </c>
      <c r="G11" s="103" t="str">
        <f t="shared" si="0"/>
        <v>OK</v>
      </c>
      <c r="H11" s="335">
        <f>'t1'!M10</f>
        <v>0</v>
      </c>
      <c r="I11" s="335">
        <f>'t7'!X10</f>
        <v>0</v>
      </c>
      <c r="J11" s="335">
        <f>'t8'!AB10</f>
        <v>0</v>
      </c>
      <c r="K11" s="334">
        <f>'t9'!P10</f>
        <v>0</v>
      </c>
      <c r="L11" s="103" t="str">
        <f t="shared" si="1"/>
        <v>OK</v>
      </c>
    </row>
    <row r="12" spans="1:13" ht="14.1" customHeight="1">
      <c r="A12" s="139" t="str">
        <f>'t1'!A11</f>
        <v>DIRIGENTE FUORI D.O. art.110 c.2 TUEL</v>
      </c>
      <c r="B12" s="186" t="str">
        <f>'t1'!B11</f>
        <v>0D0098</v>
      </c>
      <c r="C12" s="334">
        <f>'t1'!L11</f>
        <v>0</v>
      </c>
      <c r="D12" s="334">
        <f>'t7'!W11</f>
        <v>0</v>
      </c>
      <c r="E12" s="335">
        <f>'t8'!AA11</f>
        <v>0</v>
      </c>
      <c r="F12" s="335">
        <f>'t9'!O11</f>
        <v>0</v>
      </c>
      <c r="G12" s="103" t="str">
        <f t="shared" si="0"/>
        <v>OK</v>
      </c>
      <c r="H12" s="335">
        <f>'t1'!M11</f>
        <v>0</v>
      </c>
      <c r="I12" s="335">
        <f>'t7'!X11</f>
        <v>0</v>
      </c>
      <c r="J12" s="335">
        <f>'t8'!AB11</f>
        <v>0</v>
      </c>
      <c r="K12" s="334">
        <f>'t9'!P11</f>
        <v>0</v>
      </c>
      <c r="L12" s="103" t="str">
        <f t="shared" si="1"/>
        <v>OK</v>
      </c>
    </row>
    <row r="13" spans="1:13" ht="14.1" customHeight="1">
      <c r="A13" s="139" t="str">
        <f>'t1'!A12</f>
        <v>ALTE SPECIALIZZ. FUORI D.O.art.110 c.2 TUEL</v>
      </c>
      <c r="B13" s="186" t="str">
        <f>'t1'!B12</f>
        <v>0D0095</v>
      </c>
      <c r="C13" s="334">
        <f>'t1'!L12</f>
        <v>0</v>
      </c>
      <c r="D13" s="334">
        <f>'t7'!W12</f>
        <v>0</v>
      </c>
      <c r="E13" s="335">
        <f>'t8'!AA12</f>
        <v>0</v>
      </c>
      <c r="F13" s="335">
        <f>'t9'!O12</f>
        <v>0</v>
      </c>
      <c r="G13" s="103" t="str">
        <f t="shared" si="0"/>
        <v>OK</v>
      </c>
      <c r="H13" s="335">
        <f>'t1'!M12</f>
        <v>0</v>
      </c>
      <c r="I13" s="335">
        <f>'t7'!X12</f>
        <v>0</v>
      </c>
      <c r="J13" s="335">
        <f>'t8'!AB12</f>
        <v>0</v>
      </c>
      <c r="K13" s="334">
        <f>'t9'!P12</f>
        <v>0</v>
      </c>
      <c r="L13" s="103" t="str">
        <f t="shared" si="1"/>
        <v>OK</v>
      </c>
    </row>
    <row r="14" spans="1:13" ht="14.1" customHeight="1">
      <c r="A14" s="139" t="str">
        <f>'t1'!A13</f>
        <v>DIRIGENTE A TEMPO INDETERMINATO</v>
      </c>
      <c r="B14" s="186" t="str">
        <f>'t1'!B13</f>
        <v>0D0164</v>
      </c>
      <c r="C14" s="334">
        <f>'t1'!L13</f>
        <v>0</v>
      </c>
      <c r="D14" s="334">
        <f>'t7'!W13</f>
        <v>0</v>
      </c>
      <c r="E14" s="335">
        <f>'t8'!AA13</f>
        <v>0</v>
      </c>
      <c r="F14" s="335">
        <f>'t9'!O13</f>
        <v>0</v>
      </c>
      <c r="G14" s="103" t="str">
        <f t="shared" si="0"/>
        <v>OK</v>
      </c>
      <c r="H14" s="335">
        <f>'t1'!M13</f>
        <v>0</v>
      </c>
      <c r="I14" s="335">
        <f>'t7'!X13</f>
        <v>0</v>
      </c>
      <c r="J14" s="335">
        <f>'t8'!AB13</f>
        <v>0</v>
      </c>
      <c r="K14" s="334">
        <f>'t9'!P13</f>
        <v>0</v>
      </c>
      <c r="L14" s="103" t="str">
        <f t="shared" si="1"/>
        <v>OK</v>
      </c>
    </row>
    <row r="15" spans="1:13" ht="14.1" customHeight="1">
      <c r="A15" s="139" t="str">
        <f>'t1'!A14</f>
        <v>DIRIGENTE A TEMPO DET.TO  ART.110 C.1 TUEL</v>
      </c>
      <c r="B15" s="186" t="str">
        <f>'t1'!B14</f>
        <v>0D0165</v>
      </c>
      <c r="C15" s="334">
        <f>'t1'!L14</f>
        <v>0</v>
      </c>
      <c r="D15" s="334">
        <f>'t7'!W14</f>
        <v>0</v>
      </c>
      <c r="E15" s="335">
        <f>'t8'!AA14</f>
        <v>0</v>
      </c>
      <c r="F15" s="335">
        <f>'t9'!O14</f>
        <v>0</v>
      </c>
      <c r="G15" s="103" t="str">
        <f t="shared" si="0"/>
        <v>OK</v>
      </c>
      <c r="H15" s="335">
        <f>'t1'!M14</f>
        <v>0</v>
      </c>
      <c r="I15" s="335">
        <f>'t7'!X14</f>
        <v>0</v>
      </c>
      <c r="J15" s="335">
        <f>'t8'!AB14</f>
        <v>0</v>
      </c>
      <c r="K15" s="334">
        <f>'t9'!P14</f>
        <v>0</v>
      </c>
      <c r="L15" s="103" t="str">
        <f t="shared" si="1"/>
        <v>OK</v>
      </c>
    </row>
    <row r="16" spans="1:13" ht="14.1" customHeight="1">
      <c r="A16" s="139" t="str">
        <f>'t1'!A15</f>
        <v>ALTE SPECIALIZZ. IN D.O. art.110 c.1 TUEL</v>
      </c>
      <c r="B16" s="186" t="str">
        <f>'t1'!B15</f>
        <v>0D0I95</v>
      </c>
      <c r="C16" s="334">
        <f>'t1'!L15</f>
        <v>0</v>
      </c>
      <c r="D16" s="334">
        <f>'t7'!W15</f>
        <v>0</v>
      </c>
      <c r="E16" s="335">
        <f>'t8'!AA15</f>
        <v>0</v>
      </c>
      <c r="F16" s="335">
        <f>'t9'!O15</f>
        <v>0</v>
      </c>
      <c r="G16" s="103" t="str">
        <f t="shared" si="0"/>
        <v>OK</v>
      </c>
      <c r="H16" s="335">
        <f>'t1'!M15</f>
        <v>0</v>
      </c>
      <c r="I16" s="335">
        <f>'t7'!X15</f>
        <v>0</v>
      </c>
      <c r="J16" s="335">
        <f>'t8'!AB15</f>
        <v>0</v>
      </c>
      <c r="K16" s="334">
        <f>'t9'!P15</f>
        <v>0</v>
      </c>
      <c r="L16" s="103" t="str">
        <f t="shared" si="1"/>
        <v>OK</v>
      </c>
    </row>
    <row r="17" spans="1:12" ht="14.1" customHeight="1">
      <c r="A17" s="139" t="str">
        <f>'t1'!A16</f>
        <v>POSIZ. ECON. D6 - PROFILI ACCESSO D3</v>
      </c>
      <c r="B17" s="186" t="str">
        <f>'t1'!B16</f>
        <v>0D6A00</v>
      </c>
      <c r="C17" s="334">
        <f>'t1'!L16</f>
        <v>0</v>
      </c>
      <c r="D17" s="334">
        <f>'t7'!W16</f>
        <v>0</v>
      </c>
      <c r="E17" s="335">
        <f>'t8'!AA16</f>
        <v>0</v>
      </c>
      <c r="F17" s="335">
        <f>'t9'!O16</f>
        <v>0</v>
      </c>
      <c r="G17" s="103" t="str">
        <f t="shared" si="0"/>
        <v>OK</v>
      </c>
      <c r="H17" s="335">
        <f>'t1'!M16</f>
        <v>0</v>
      </c>
      <c r="I17" s="335">
        <f>'t7'!X16</f>
        <v>0</v>
      </c>
      <c r="J17" s="335">
        <f>'t8'!AB16</f>
        <v>0</v>
      </c>
      <c r="K17" s="334">
        <f>'t9'!P16</f>
        <v>0</v>
      </c>
      <c r="L17" s="103" t="str">
        <f t="shared" si="1"/>
        <v>OK</v>
      </c>
    </row>
    <row r="18" spans="1:12" ht="14.1" customHeight="1">
      <c r="A18" s="139" t="str">
        <f>'t1'!A17</f>
        <v>POSIZ. ECON. D6 - PROFILO ACCESSO D1</v>
      </c>
      <c r="B18" s="186" t="str">
        <f>'t1'!B17</f>
        <v>0D6000</v>
      </c>
      <c r="C18" s="334">
        <f>'t1'!L17</f>
        <v>0</v>
      </c>
      <c r="D18" s="334">
        <f>'t7'!W17</f>
        <v>0</v>
      </c>
      <c r="E18" s="335">
        <f>'t8'!AA17</f>
        <v>0</v>
      </c>
      <c r="F18" s="335">
        <f>'t9'!O17</f>
        <v>0</v>
      </c>
      <c r="G18" s="103" t="str">
        <f t="shared" si="0"/>
        <v>OK</v>
      </c>
      <c r="H18" s="335">
        <f>'t1'!M17</f>
        <v>0</v>
      </c>
      <c r="I18" s="335">
        <f>'t7'!X17</f>
        <v>0</v>
      </c>
      <c r="J18" s="335">
        <f>'t8'!AB17</f>
        <v>0</v>
      </c>
      <c r="K18" s="334">
        <f>'t9'!P17</f>
        <v>0</v>
      </c>
      <c r="L18" s="103" t="str">
        <f t="shared" si="1"/>
        <v>OK</v>
      </c>
    </row>
    <row r="19" spans="1:12" ht="14.1" customHeight="1">
      <c r="A19" s="139" t="str">
        <f>'t1'!A18</f>
        <v>POSIZ. ECON. D5 PROFILI ACCESSO D3</v>
      </c>
      <c r="B19" s="186" t="str">
        <f>'t1'!B18</f>
        <v>052486</v>
      </c>
      <c r="C19" s="334">
        <f>'t1'!L18</f>
        <v>0</v>
      </c>
      <c r="D19" s="334">
        <f>'t7'!W18</f>
        <v>0</v>
      </c>
      <c r="E19" s="335">
        <f>'t8'!AA18</f>
        <v>0</v>
      </c>
      <c r="F19" s="335">
        <f>'t9'!O18</f>
        <v>0</v>
      </c>
      <c r="G19" s="103" t="str">
        <f t="shared" si="0"/>
        <v>OK</v>
      </c>
      <c r="H19" s="335">
        <f>'t1'!M18</f>
        <v>0</v>
      </c>
      <c r="I19" s="335">
        <f>'t7'!X18</f>
        <v>0</v>
      </c>
      <c r="J19" s="335">
        <f>'t8'!AB18</f>
        <v>0</v>
      </c>
      <c r="K19" s="334">
        <f>'t9'!P18</f>
        <v>0</v>
      </c>
      <c r="L19" s="103" t="str">
        <f t="shared" si="1"/>
        <v>OK</v>
      </c>
    </row>
    <row r="20" spans="1:12" ht="14.1" customHeight="1">
      <c r="A20" s="139" t="str">
        <f>'t1'!A19</f>
        <v>POSIZ. ECON. D5 PROFILI ACCESSO D1</v>
      </c>
      <c r="B20" s="186" t="str">
        <f>'t1'!B19</f>
        <v>052487</v>
      </c>
      <c r="C20" s="334">
        <f>'t1'!L19</f>
        <v>0</v>
      </c>
      <c r="D20" s="334">
        <f>'t7'!W19</f>
        <v>0</v>
      </c>
      <c r="E20" s="335">
        <f>'t8'!AA19</f>
        <v>0</v>
      </c>
      <c r="F20" s="335">
        <f>'t9'!O19</f>
        <v>0</v>
      </c>
      <c r="G20" s="103" t="str">
        <f t="shared" si="0"/>
        <v>OK</v>
      </c>
      <c r="H20" s="335">
        <f>'t1'!M19</f>
        <v>0</v>
      </c>
      <c r="I20" s="335">
        <f>'t7'!X19</f>
        <v>0</v>
      </c>
      <c r="J20" s="335">
        <f>'t8'!AB19</f>
        <v>0</v>
      </c>
      <c r="K20" s="334">
        <f>'t9'!P19</f>
        <v>0</v>
      </c>
      <c r="L20" s="103" t="str">
        <f t="shared" si="1"/>
        <v>OK</v>
      </c>
    </row>
    <row r="21" spans="1:12" ht="14.1" customHeight="1">
      <c r="A21" s="139" t="str">
        <f>'t1'!A20</f>
        <v>POSIZ. ECON. D4 PROFILI ACCESSO D3</v>
      </c>
      <c r="B21" s="186" t="str">
        <f>'t1'!B20</f>
        <v>051488</v>
      </c>
      <c r="C21" s="334">
        <f>'t1'!L20</f>
        <v>0</v>
      </c>
      <c r="D21" s="334">
        <f>'t7'!W20</f>
        <v>0</v>
      </c>
      <c r="E21" s="335">
        <f>'t8'!AA20</f>
        <v>0</v>
      </c>
      <c r="F21" s="335">
        <f>'t9'!O20</f>
        <v>0</v>
      </c>
      <c r="G21" s="103" t="str">
        <f t="shared" si="0"/>
        <v>OK</v>
      </c>
      <c r="H21" s="335">
        <f>'t1'!M20</f>
        <v>0</v>
      </c>
      <c r="I21" s="335">
        <f>'t7'!X20</f>
        <v>0</v>
      </c>
      <c r="J21" s="335">
        <f>'t8'!AB20</f>
        <v>0</v>
      </c>
      <c r="K21" s="334">
        <f>'t9'!P20</f>
        <v>0</v>
      </c>
      <c r="L21" s="103" t="str">
        <f t="shared" si="1"/>
        <v>OK</v>
      </c>
    </row>
    <row r="22" spans="1:12" ht="14.1" customHeight="1">
      <c r="A22" s="139" t="str">
        <f>'t1'!A21</f>
        <v>POSIZ. ECON. D4 PROFILI ACCESSO D1</v>
      </c>
      <c r="B22" s="186" t="str">
        <f>'t1'!B21</f>
        <v>051489</v>
      </c>
      <c r="C22" s="334">
        <f>'t1'!L21</f>
        <v>0</v>
      </c>
      <c r="D22" s="334">
        <f>'t7'!W21</f>
        <v>0</v>
      </c>
      <c r="E22" s="335">
        <f>'t8'!AA21</f>
        <v>0</v>
      </c>
      <c r="F22" s="335">
        <f>'t9'!O21</f>
        <v>0</v>
      </c>
      <c r="G22" s="103" t="str">
        <f t="shared" si="0"/>
        <v>OK</v>
      </c>
      <c r="H22" s="335">
        <f>'t1'!M21</f>
        <v>0</v>
      </c>
      <c r="I22" s="335">
        <f>'t7'!X21</f>
        <v>0</v>
      </c>
      <c r="J22" s="335">
        <f>'t8'!AB21</f>
        <v>0</v>
      </c>
      <c r="K22" s="334">
        <f>'t9'!P21</f>
        <v>0</v>
      </c>
      <c r="L22" s="103" t="str">
        <f t="shared" si="1"/>
        <v>OK</v>
      </c>
    </row>
    <row r="23" spans="1:12" ht="14.1" customHeight="1">
      <c r="A23" s="139" t="str">
        <f>'t1'!A22</f>
        <v>POSIZIONE ECONOMICA DI ACCESSO D3</v>
      </c>
      <c r="B23" s="186" t="str">
        <f>'t1'!B22</f>
        <v>058000</v>
      </c>
      <c r="C23" s="334">
        <f>'t1'!L22</f>
        <v>0</v>
      </c>
      <c r="D23" s="334">
        <f>'t7'!W22</f>
        <v>0</v>
      </c>
      <c r="E23" s="335">
        <f>'t8'!AA22</f>
        <v>0</v>
      </c>
      <c r="F23" s="335">
        <f>'t9'!O22</f>
        <v>0</v>
      </c>
      <c r="G23" s="103" t="str">
        <f t="shared" si="0"/>
        <v>OK</v>
      </c>
      <c r="H23" s="335">
        <f>'t1'!M22</f>
        <v>0</v>
      </c>
      <c r="I23" s="335">
        <f>'t7'!X22</f>
        <v>0</v>
      </c>
      <c r="J23" s="335">
        <f>'t8'!AB22</f>
        <v>0</v>
      </c>
      <c r="K23" s="334">
        <f>'t9'!P22</f>
        <v>0</v>
      </c>
      <c r="L23" s="103" t="str">
        <f t="shared" si="1"/>
        <v>OK</v>
      </c>
    </row>
    <row r="24" spans="1:12" ht="14.1" customHeight="1">
      <c r="A24" s="139" t="str">
        <f>'t1'!A23</f>
        <v>POSIZIONE ECONOMICA D3</v>
      </c>
      <c r="B24" s="186" t="str">
        <f>'t1'!B23</f>
        <v>050000</v>
      </c>
      <c r="C24" s="334">
        <f>'t1'!L23</f>
        <v>0</v>
      </c>
      <c r="D24" s="334">
        <f>'t7'!W23</f>
        <v>0</v>
      </c>
      <c r="E24" s="335">
        <f>'t8'!AA23</f>
        <v>0</v>
      </c>
      <c r="F24" s="335">
        <f>'t9'!O23</f>
        <v>0</v>
      </c>
      <c r="G24" s="103" t="str">
        <f t="shared" si="0"/>
        <v>OK</v>
      </c>
      <c r="H24" s="335">
        <f>'t1'!M23</f>
        <v>0</v>
      </c>
      <c r="I24" s="335">
        <f>'t7'!X23</f>
        <v>0</v>
      </c>
      <c r="J24" s="335">
        <f>'t8'!AB23</f>
        <v>0</v>
      </c>
      <c r="K24" s="334">
        <f>'t9'!P23</f>
        <v>0</v>
      </c>
      <c r="L24" s="103" t="str">
        <f t="shared" si="1"/>
        <v>OK</v>
      </c>
    </row>
    <row r="25" spans="1:12" ht="14.1" customHeight="1">
      <c r="A25" s="139" t="str">
        <f>'t1'!A24</f>
        <v>POSIZIONE ECONOMICA D2</v>
      </c>
      <c r="B25" s="186" t="str">
        <f>'t1'!B24</f>
        <v>049000</v>
      </c>
      <c r="C25" s="334">
        <f>'t1'!L24</f>
        <v>0</v>
      </c>
      <c r="D25" s="334">
        <f>'t7'!W24</f>
        <v>0</v>
      </c>
      <c r="E25" s="335">
        <f>'t8'!AA24</f>
        <v>0</v>
      </c>
      <c r="F25" s="335">
        <f>'t9'!O24</f>
        <v>0</v>
      </c>
      <c r="G25" s="103" t="str">
        <f t="shared" si="0"/>
        <v>OK</v>
      </c>
      <c r="H25" s="335">
        <f>'t1'!M24</f>
        <v>0</v>
      </c>
      <c r="I25" s="335">
        <f>'t7'!X24</f>
        <v>0</v>
      </c>
      <c r="J25" s="335">
        <f>'t8'!AB24</f>
        <v>0</v>
      </c>
      <c r="K25" s="334">
        <f>'t9'!P24</f>
        <v>0</v>
      </c>
      <c r="L25" s="103" t="str">
        <f t="shared" si="1"/>
        <v>OK</v>
      </c>
    </row>
    <row r="26" spans="1:12" ht="14.1" customHeight="1">
      <c r="A26" s="139" t="str">
        <f>'t1'!A25</f>
        <v>POSIZIONE ECONOMICA DI ACCESSO D1</v>
      </c>
      <c r="B26" s="186" t="str">
        <f>'t1'!B25</f>
        <v>057000</v>
      </c>
      <c r="C26" s="334">
        <f>'t1'!L25</f>
        <v>1</v>
      </c>
      <c r="D26" s="334">
        <f>'t7'!W25</f>
        <v>1</v>
      </c>
      <c r="E26" s="335">
        <f>'t8'!AA25</f>
        <v>1</v>
      </c>
      <c r="F26" s="335">
        <f>'t9'!O25</f>
        <v>1</v>
      </c>
      <c r="G26" s="103" t="str">
        <f t="shared" si="0"/>
        <v>OK</v>
      </c>
      <c r="H26" s="335">
        <f>'t1'!M25</f>
        <v>0</v>
      </c>
      <c r="I26" s="335">
        <f>'t7'!X25</f>
        <v>0</v>
      </c>
      <c r="J26" s="335">
        <f>'t8'!AB25</f>
        <v>0</v>
      </c>
      <c r="K26" s="334">
        <f>'t9'!P25</f>
        <v>0</v>
      </c>
      <c r="L26" s="103" t="str">
        <f t="shared" si="1"/>
        <v>OK</v>
      </c>
    </row>
    <row r="27" spans="1:12" ht="14.1" customHeight="1">
      <c r="A27" s="139" t="str">
        <f>'t1'!A26</f>
        <v>POSIZIONE ECONOMICA C5</v>
      </c>
      <c r="B27" s="186" t="str">
        <f>'t1'!B26</f>
        <v>046000</v>
      </c>
      <c r="C27" s="334">
        <f>'t1'!L26</f>
        <v>0</v>
      </c>
      <c r="D27" s="334">
        <f>'t7'!W26</f>
        <v>0</v>
      </c>
      <c r="E27" s="335">
        <f>'t8'!AA26</f>
        <v>0</v>
      </c>
      <c r="F27" s="335">
        <f>'t9'!O26</f>
        <v>0</v>
      </c>
      <c r="G27" s="103" t="str">
        <f t="shared" si="0"/>
        <v>OK</v>
      </c>
      <c r="H27" s="335">
        <f>'t1'!M26</f>
        <v>0</v>
      </c>
      <c r="I27" s="335">
        <f>'t7'!X26</f>
        <v>0</v>
      </c>
      <c r="J27" s="335">
        <f>'t8'!AB26</f>
        <v>0</v>
      </c>
      <c r="K27" s="334">
        <f>'t9'!P26</f>
        <v>0</v>
      </c>
      <c r="L27" s="103" t="str">
        <f t="shared" si="1"/>
        <v>OK</v>
      </c>
    </row>
    <row r="28" spans="1:12" ht="14.1" customHeight="1">
      <c r="A28" s="139" t="str">
        <f>'t1'!A27</f>
        <v>POSIZIONE ECONOMICA C4</v>
      </c>
      <c r="B28" s="186" t="str">
        <f>'t1'!B27</f>
        <v>045000</v>
      </c>
      <c r="C28" s="334">
        <f>'t1'!L27</f>
        <v>0</v>
      </c>
      <c r="D28" s="334">
        <f>'t7'!W27</f>
        <v>0</v>
      </c>
      <c r="E28" s="335">
        <f>'t8'!AA27</f>
        <v>0</v>
      </c>
      <c r="F28" s="335">
        <f>'t9'!O27</f>
        <v>0</v>
      </c>
      <c r="G28" s="103" t="str">
        <f t="shared" si="0"/>
        <v>OK</v>
      </c>
      <c r="H28" s="335">
        <f>'t1'!M27</f>
        <v>0</v>
      </c>
      <c r="I28" s="335">
        <f>'t7'!X27</f>
        <v>0</v>
      </c>
      <c r="J28" s="335">
        <f>'t8'!AB27</f>
        <v>0</v>
      </c>
      <c r="K28" s="334">
        <f>'t9'!P27</f>
        <v>0</v>
      </c>
      <c r="L28" s="103" t="str">
        <f t="shared" si="1"/>
        <v>OK</v>
      </c>
    </row>
    <row r="29" spans="1:12" ht="14.1" customHeight="1">
      <c r="A29" s="139" t="str">
        <f>'t1'!A28</f>
        <v>POSIZIONE ECONOMICA C3</v>
      </c>
      <c r="B29" s="186" t="str">
        <f>'t1'!B28</f>
        <v>043000</v>
      </c>
      <c r="C29" s="334">
        <f>'t1'!L28</f>
        <v>0</v>
      </c>
      <c r="D29" s="334">
        <f>'t7'!W28</f>
        <v>0</v>
      </c>
      <c r="E29" s="335">
        <f>'t8'!AA28</f>
        <v>0</v>
      </c>
      <c r="F29" s="335">
        <f>'t9'!O28</f>
        <v>0</v>
      </c>
      <c r="G29" s="103" t="str">
        <f t="shared" si="0"/>
        <v>OK</v>
      </c>
      <c r="H29" s="335">
        <f>'t1'!M28</f>
        <v>0</v>
      </c>
      <c r="I29" s="335">
        <f>'t7'!X28</f>
        <v>0</v>
      </c>
      <c r="J29" s="335">
        <f>'t8'!AB28</f>
        <v>0</v>
      </c>
      <c r="K29" s="334">
        <f>'t9'!P28</f>
        <v>0</v>
      </c>
      <c r="L29" s="103" t="str">
        <f t="shared" si="1"/>
        <v>OK</v>
      </c>
    </row>
    <row r="30" spans="1:12" ht="14.1" customHeight="1">
      <c r="A30" s="139" t="str">
        <f>'t1'!A29</f>
        <v>POSIZIONE ECONOMICA C2</v>
      </c>
      <c r="B30" s="186" t="str">
        <f>'t1'!B29</f>
        <v>042000</v>
      </c>
      <c r="C30" s="334">
        <f>'t1'!L29</f>
        <v>0</v>
      </c>
      <c r="D30" s="334">
        <f>'t7'!W29</f>
        <v>0</v>
      </c>
      <c r="E30" s="335">
        <f>'t8'!AA29</f>
        <v>0</v>
      </c>
      <c r="F30" s="335">
        <f>'t9'!O29</f>
        <v>0</v>
      </c>
      <c r="G30" s="103" t="str">
        <f t="shared" si="0"/>
        <v>OK</v>
      </c>
      <c r="H30" s="335">
        <f>'t1'!M29</f>
        <v>1</v>
      </c>
      <c r="I30" s="335">
        <f>'t7'!X29</f>
        <v>1</v>
      </c>
      <c r="J30" s="335">
        <f>'t8'!AB29</f>
        <v>1</v>
      </c>
      <c r="K30" s="334">
        <f>'t9'!P29</f>
        <v>1</v>
      </c>
      <c r="L30" s="103" t="str">
        <f t="shared" si="1"/>
        <v>OK</v>
      </c>
    </row>
    <row r="31" spans="1:12" ht="14.1" customHeight="1">
      <c r="A31" s="139" t="str">
        <f>'t1'!A30</f>
        <v>POSIZIONE ECONOMICA DI ACCESSO C1</v>
      </c>
      <c r="B31" s="186" t="str">
        <f>'t1'!B30</f>
        <v>056000</v>
      </c>
      <c r="C31" s="334">
        <f>'t1'!L30</f>
        <v>0</v>
      </c>
      <c r="D31" s="334">
        <f>'t7'!W30</f>
        <v>0</v>
      </c>
      <c r="E31" s="335">
        <f>'t8'!AA30</f>
        <v>0</v>
      </c>
      <c r="F31" s="335">
        <f>'t9'!O30</f>
        <v>0</v>
      </c>
      <c r="G31" s="103" t="str">
        <f t="shared" si="0"/>
        <v>OK</v>
      </c>
      <c r="H31" s="335">
        <f>'t1'!M30</f>
        <v>2</v>
      </c>
      <c r="I31" s="335">
        <f>'t7'!X30</f>
        <v>2</v>
      </c>
      <c r="J31" s="335">
        <f>'t8'!AB30</f>
        <v>2</v>
      </c>
      <c r="K31" s="334">
        <f>'t9'!P30</f>
        <v>2</v>
      </c>
      <c r="L31" s="103" t="str">
        <f t="shared" si="1"/>
        <v>OK</v>
      </c>
    </row>
    <row r="32" spans="1:12" ht="14.1" customHeight="1">
      <c r="A32" s="139" t="str">
        <f>'t1'!A31</f>
        <v>POSIZ. ECON. B7 - PROFILO ACCESSO B3</v>
      </c>
      <c r="B32" s="186" t="str">
        <f>'t1'!B31</f>
        <v>0B7A00</v>
      </c>
      <c r="C32" s="334">
        <f>'t1'!L31</f>
        <v>0</v>
      </c>
      <c r="D32" s="334">
        <f>'t7'!W31</f>
        <v>0</v>
      </c>
      <c r="E32" s="335">
        <f>'t8'!AA31</f>
        <v>0</v>
      </c>
      <c r="F32" s="335">
        <f>'t9'!O31</f>
        <v>0</v>
      </c>
      <c r="G32" s="103" t="str">
        <f t="shared" si="0"/>
        <v>OK</v>
      </c>
      <c r="H32" s="335">
        <f>'t1'!M31</f>
        <v>0</v>
      </c>
      <c r="I32" s="335">
        <f>'t7'!X31</f>
        <v>0</v>
      </c>
      <c r="J32" s="335">
        <f>'t8'!AB31</f>
        <v>0</v>
      </c>
      <c r="K32" s="334">
        <f>'t9'!P31</f>
        <v>0</v>
      </c>
      <c r="L32" s="103" t="str">
        <f t="shared" si="1"/>
        <v>OK</v>
      </c>
    </row>
    <row r="33" spans="1:12" ht="14.1" customHeight="1">
      <c r="A33" s="139" t="str">
        <f>'t1'!A32</f>
        <v>POSIZ. ECON. B7 - PROFILO  ACCESSO B1</v>
      </c>
      <c r="B33" s="186" t="str">
        <f>'t1'!B32</f>
        <v>0B7000</v>
      </c>
      <c r="C33" s="334">
        <f>'t1'!L32</f>
        <v>0</v>
      </c>
      <c r="D33" s="334">
        <f>'t7'!W32</f>
        <v>0</v>
      </c>
      <c r="E33" s="335">
        <f>'t8'!AA32</f>
        <v>0</v>
      </c>
      <c r="F33" s="335">
        <f>'t9'!O32</f>
        <v>0</v>
      </c>
      <c r="G33" s="103" t="str">
        <f t="shared" si="0"/>
        <v>OK</v>
      </c>
      <c r="H33" s="335">
        <f>'t1'!M32</f>
        <v>0</v>
      </c>
      <c r="I33" s="335">
        <f>'t7'!X32</f>
        <v>0</v>
      </c>
      <c r="J33" s="335">
        <f>'t8'!AB32</f>
        <v>0</v>
      </c>
      <c r="K33" s="334">
        <f>'t9'!P32</f>
        <v>0</v>
      </c>
      <c r="L33" s="103" t="str">
        <f t="shared" si="1"/>
        <v>OK</v>
      </c>
    </row>
    <row r="34" spans="1:12" ht="14.1" customHeight="1">
      <c r="A34" s="139" t="str">
        <f>'t1'!A33</f>
        <v>POSIZ. ECON. B6 PROFILI ACCESSO B3</v>
      </c>
      <c r="B34" s="186" t="str">
        <f>'t1'!B33</f>
        <v>038490</v>
      </c>
      <c r="C34" s="334">
        <f>'t1'!L33</f>
        <v>0</v>
      </c>
      <c r="D34" s="334">
        <f>'t7'!W33</f>
        <v>0</v>
      </c>
      <c r="E34" s="335">
        <f>'t8'!AA33</f>
        <v>0</v>
      </c>
      <c r="F34" s="335">
        <f>'t9'!O33</f>
        <v>0</v>
      </c>
      <c r="G34" s="103" t="str">
        <f t="shared" si="0"/>
        <v>OK</v>
      </c>
      <c r="H34" s="335">
        <f>'t1'!M33</f>
        <v>0</v>
      </c>
      <c r="I34" s="335">
        <f>'t7'!X33</f>
        <v>0</v>
      </c>
      <c r="J34" s="335">
        <f>'t8'!AB33</f>
        <v>0</v>
      </c>
      <c r="K34" s="334">
        <f>'t9'!P33</f>
        <v>0</v>
      </c>
      <c r="L34" s="103" t="str">
        <f t="shared" si="1"/>
        <v>OK</v>
      </c>
    </row>
    <row r="35" spans="1:12" ht="14.1" customHeight="1">
      <c r="A35" s="139" t="str">
        <f>'t1'!A34</f>
        <v>POSIZ. ECON. B6 PROFILI ACCESSO B1</v>
      </c>
      <c r="B35" s="186" t="str">
        <f>'t1'!B34</f>
        <v>038491</v>
      </c>
      <c r="C35" s="334">
        <f>'t1'!L34</f>
        <v>0</v>
      </c>
      <c r="D35" s="334">
        <f>'t7'!W34</f>
        <v>0</v>
      </c>
      <c r="E35" s="335">
        <f>'t8'!AA34</f>
        <v>0</v>
      </c>
      <c r="F35" s="335">
        <f>'t9'!O34</f>
        <v>0</v>
      </c>
      <c r="G35" s="103" t="str">
        <f t="shared" si="0"/>
        <v>OK</v>
      </c>
      <c r="H35" s="335">
        <f>'t1'!M34</f>
        <v>0</v>
      </c>
      <c r="I35" s="335">
        <f>'t7'!X34</f>
        <v>0</v>
      </c>
      <c r="J35" s="335">
        <f>'t8'!AB34</f>
        <v>0</v>
      </c>
      <c r="K35" s="334">
        <f>'t9'!P34</f>
        <v>0</v>
      </c>
      <c r="L35" s="103" t="str">
        <f t="shared" si="1"/>
        <v>OK</v>
      </c>
    </row>
    <row r="36" spans="1:12" ht="14.1" customHeight="1">
      <c r="A36" s="139" t="str">
        <f>'t1'!A35</f>
        <v>POSIZ. ECON. B5 PROFILI ACCESSO B3</v>
      </c>
      <c r="B36" s="186" t="str">
        <f>'t1'!B35</f>
        <v>037492</v>
      </c>
      <c r="C36" s="334">
        <f>'t1'!L35</f>
        <v>0</v>
      </c>
      <c r="D36" s="334">
        <f>'t7'!W35</f>
        <v>0</v>
      </c>
      <c r="E36" s="335">
        <f>'t8'!AA35</f>
        <v>0</v>
      </c>
      <c r="F36" s="335">
        <f>'t9'!O35</f>
        <v>0</v>
      </c>
      <c r="G36" s="103" t="str">
        <f t="shared" si="0"/>
        <v>OK</v>
      </c>
      <c r="H36" s="335">
        <f>'t1'!M35</f>
        <v>0</v>
      </c>
      <c r="I36" s="335">
        <f>'t7'!X35</f>
        <v>0</v>
      </c>
      <c r="J36" s="335">
        <f>'t8'!AB35</f>
        <v>0</v>
      </c>
      <c r="K36" s="334">
        <f>'t9'!P35</f>
        <v>0</v>
      </c>
      <c r="L36" s="103" t="str">
        <f t="shared" si="1"/>
        <v>OK</v>
      </c>
    </row>
    <row r="37" spans="1:12" ht="14.1" customHeight="1">
      <c r="A37" s="139" t="str">
        <f>'t1'!A36</f>
        <v>POSIZ. ECON. B5 PROFILI ACCESSO B1</v>
      </c>
      <c r="B37" s="186" t="str">
        <f>'t1'!B36</f>
        <v>037493</v>
      </c>
      <c r="C37" s="334">
        <f>'t1'!L36</f>
        <v>0</v>
      </c>
      <c r="D37" s="334">
        <f>'t7'!W36</f>
        <v>0</v>
      </c>
      <c r="E37" s="335">
        <f>'t8'!AA36</f>
        <v>0</v>
      </c>
      <c r="F37" s="335">
        <f>'t9'!O36</f>
        <v>0</v>
      </c>
      <c r="G37" s="103" t="str">
        <f t="shared" si="0"/>
        <v>OK</v>
      </c>
      <c r="H37" s="335">
        <f>'t1'!M36</f>
        <v>0</v>
      </c>
      <c r="I37" s="335">
        <f>'t7'!X36</f>
        <v>0</v>
      </c>
      <c r="J37" s="335">
        <f>'t8'!AB36</f>
        <v>0</v>
      </c>
      <c r="K37" s="334">
        <f>'t9'!P36</f>
        <v>0</v>
      </c>
      <c r="L37" s="103" t="str">
        <f t="shared" si="1"/>
        <v>OK</v>
      </c>
    </row>
    <row r="38" spans="1:12" ht="14.1" customHeight="1">
      <c r="A38" s="139" t="str">
        <f>'t1'!A37</f>
        <v>POSIZ. ECON. B4 PROFILI ACCESSO B3</v>
      </c>
      <c r="B38" s="186" t="str">
        <f>'t1'!B37</f>
        <v>036494</v>
      </c>
      <c r="C38" s="334">
        <f>'t1'!L37</f>
        <v>0</v>
      </c>
      <c r="D38" s="334">
        <f>'t7'!W37</f>
        <v>0</v>
      </c>
      <c r="E38" s="335">
        <f>'t8'!AA37</f>
        <v>0</v>
      </c>
      <c r="F38" s="335">
        <f>'t9'!O37</f>
        <v>0</v>
      </c>
      <c r="G38" s="103" t="str">
        <f t="shared" si="0"/>
        <v>OK</v>
      </c>
      <c r="H38" s="335">
        <f>'t1'!M37</f>
        <v>0</v>
      </c>
      <c r="I38" s="335">
        <f>'t7'!X37</f>
        <v>0</v>
      </c>
      <c r="J38" s="335">
        <f>'t8'!AB37</f>
        <v>0</v>
      </c>
      <c r="K38" s="334">
        <f>'t9'!P37</f>
        <v>0</v>
      </c>
      <c r="L38" s="103" t="str">
        <f t="shared" si="1"/>
        <v>OK</v>
      </c>
    </row>
    <row r="39" spans="1:12" ht="14.1" customHeight="1">
      <c r="A39" s="139" t="str">
        <f>'t1'!A38</f>
        <v>POSIZ. ECON. B4 PROFILI ACCESSO B1</v>
      </c>
      <c r="B39" s="186" t="str">
        <f>'t1'!B38</f>
        <v>036495</v>
      </c>
      <c r="C39" s="334">
        <f>'t1'!L38</f>
        <v>0</v>
      </c>
      <c r="D39" s="334">
        <f>'t7'!W38</f>
        <v>0</v>
      </c>
      <c r="E39" s="335">
        <f>'t8'!AA38</f>
        <v>0</v>
      </c>
      <c r="F39" s="335">
        <f>'t9'!O38</f>
        <v>0</v>
      </c>
      <c r="G39" s="103" t="str">
        <f t="shared" si="0"/>
        <v>OK</v>
      </c>
      <c r="H39" s="335">
        <f>'t1'!M38</f>
        <v>0</v>
      </c>
      <c r="I39" s="335">
        <f>'t7'!X38</f>
        <v>0</v>
      </c>
      <c r="J39" s="335">
        <f>'t8'!AB38</f>
        <v>0</v>
      </c>
      <c r="K39" s="334">
        <f>'t9'!P38</f>
        <v>0</v>
      </c>
      <c r="L39" s="103" t="str">
        <f t="shared" si="1"/>
        <v>OK</v>
      </c>
    </row>
    <row r="40" spans="1:12" ht="14.1" customHeight="1">
      <c r="A40" s="139" t="str">
        <f>'t1'!A39</f>
        <v>POSIZIONE ECONOMICA DI ACCESSO B3</v>
      </c>
      <c r="B40" s="186" t="str">
        <f>'t1'!B39</f>
        <v>055000</v>
      </c>
      <c r="C40" s="334">
        <f>'t1'!L39</f>
        <v>0</v>
      </c>
      <c r="D40" s="334">
        <f>'t7'!W39</f>
        <v>0</v>
      </c>
      <c r="E40" s="335">
        <f>'t8'!AA39</f>
        <v>0</v>
      </c>
      <c r="F40" s="335">
        <f>'t9'!O39</f>
        <v>0</v>
      </c>
      <c r="G40" s="103" t="str">
        <f t="shared" si="0"/>
        <v>OK</v>
      </c>
      <c r="H40" s="335">
        <f>'t1'!M39</f>
        <v>0</v>
      </c>
      <c r="I40" s="335">
        <f>'t7'!X39</f>
        <v>0</v>
      </c>
      <c r="J40" s="335">
        <f>'t8'!AB39</f>
        <v>0</v>
      </c>
      <c r="K40" s="334">
        <f>'t9'!P39</f>
        <v>0</v>
      </c>
      <c r="L40" s="103" t="str">
        <f t="shared" si="1"/>
        <v>OK</v>
      </c>
    </row>
    <row r="41" spans="1:12" ht="14.1" customHeight="1">
      <c r="A41" s="139" t="str">
        <f>'t1'!A40</f>
        <v>POSIZIONE ECONOMICA B3</v>
      </c>
      <c r="B41" s="186" t="str">
        <f>'t1'!B40</f>
        <v>034000</v>
      </c>
      <c r="C41" s="334">
        <f>'t1'!L40</f>
        <v>0</v>
      </c>
      <c r="D41" s="334">
        <f>'t7'!W40</f>
        <v>0</v>
      </c>
      <c r="E41" s="335">
        <f>'t8'!AA40</f>
        <v>0</v>
      </c>
      <c r="F41" s="335">
        <f>'t9'!O40</f>
        <v>0</v>
      </c>
      <c r="G41" s="103" t="str">
        <f t="shared" ref="G41:G50" si="2">IF(COUNTIF(C41:F41,C41)=4,"OK","ERRORE")</f>
        <v>OK</v>
      </c>
      <c r="H41" s="335">
        <f>'t1'!M40</f>
        <v>0</v>
      </c>
      <c r="I41" s="335">
        <f>'t7'!X40</f>
        <v>0</v>
      </c>
      <c r="J41" s="335">
        <f>'t8'!AB40</f>
        <v>0</v>
      </c>
      <c r="K41" s="334">
        <f>'t9'!P40</f>
        <v>0</v>
      </c>
      <c r="L41" s="103" t="str">
        <f t="shared" ref="L41:L50" si="3">IF(COUNTIF(H41:K41,H41)=4,"OK","ERRORE")</f>
        <v>OK</v>
      </c>
    </row>
    <row r="42" spans="1:12" ht="14.1" customHeight="1">
      <c r="A42" s="139" t="str">
        <f>'t1'!A41</f>
        <v>POSIZIONE ECONOMICA B2</v>
      </c>
      <c r="B42" s="186" t="str">
        <f>'t1'!B41</f>
        <v>032000</v>
      </c>
      <c r="C42" s="334">
        <f>'t1'!L41</f>
        <v>0</v>
      </c>
      <c r="D42" s="334">
        <f>'t7'!W41</f>
        <v>0</v>
      </c>
      <c r="E42" s="335">
        <f>'t8'!AA41</f>
        <v>0</v>
      </c>
      <c r="F42" s="335">
        <f>'t9'!O41</f>
        <v>0</v>
      </c>
      <c r="G42" s="103" t="str">
        <f t="shared" si="2"/>
        <v>OK</v>
      </c>
      <c r="H42" s="335">
        <f>'t1'!M41</f>
        <v>0</v>
      </c>
      <c r="I42" s="335">
        <f>'t7'!X41</f>
        <v>0</v>
      </c>
      <c r="J42" s="335">
        <f>'t8'!AB41</f>
        <v>0</v>
      </c>
      <c r="K42" s="334">
        <f>'t9'!P41</f>
        <v>0</v>
      </c>
      <c r="L42" s="103" t="str">
        <f t="shared" si="3"/>
        <v>OK</v>
      </c>
    </row>
    <row r="43" spans="1:12" ht="14.1" customHeight="1">
      <c r="A43" s="139" t="str">
        <f>'t1'!A42</f>
        <v>POSIZIONE ECONOMICA DI ACCESSO B1</v>
      </c>
      <c r="B43" s="186" t="str">
        <f>'t1'!B42</f>
        <v>054000</v>
      </c>
      <c r="C43" s="334">
        <f>'t1'!L42</f>
        <v>0</v>
      </c>
      <c r="D43" s="334">
        <f>'t7'!W42</f>
        <v>0</v>
      </c>
      <c r="E43" s="335">
        <f>'t8'!AA42</f>
        <v>0</v>
      </c>
      <c r="F43" s="335">
        <f>'t9'!O42</f>
        <v>0</v>
      </c>
      <c r="G43" s="103" t="str">
        <f t="shared" si="2"/>
        <v>OK</v>
      </c>
      <c r="H43" s="335">
        <f>'t1'!M42</f>
        <v>0</v>
      </c>
      <c r="I43" s="335">
        <f>'t7'!X42</f>
        <v>0</v>
      </c>
      <c r="J43" s="335">
        <f>'t8'!AB42</f>
        <v>0</v>
      </c>
      <c r="K43" s="334">
        <f>'t9'!P42</f>
        <v>0</v>
      </c>
      <c r="L43" s="103" t="str">
        <f t="shared" si="3"/>
        <v>OK</v>
      </c>
    </row>
    <row r="44" spans="1:12" ht="14.1" customHeight="1">
      <c r="A44" s="139" t="str">
        <f>'t1'!A43</f>
        <v>POSIZIONE ECONOMICA A5</v>
      </c>
      <c r="B44" s="186" t="str">
        <f>'t1'!B43</f>
        <v>0A5000</v>
      </c>
      <c r="C44" s="334">
        <f>'t1'!L43</f>
        <v>0</v>
      </c>
      <c r="D44" s="334">
        <f>'t7'!W43</f>
        <v>0</v>
      </c>
      <c r="E44" s="335">
        <f>'t8'!AA43</f>
        <v>0</v>
      </c>
      <c r="F44" s="335">
        <f>'t9'!O43</f>
        <v>0</v>
      </c>
      <c r="G44" s="103" t="str">
        <f t="shared" si="2"/>
        <v>OK</v>
      </c>
      <c r="H44" s="335">
        <f>'t1'!M43</f>
        <v>0</v>
      </c>
      <c r="I44" s="335">
        <f>'t7'!X43</f>
        <v>0</v>
      </c>
      <c r="J44" s="335">
        <f>'t8'!AB43</f>
        <v>0</v>
      </c>
      <c r="K44" s="334">
        <f>'t9'!P43</f>
        <v>0</v>
      </c>
      <c r="L44" s="103" t="str">
        <f t="shared" si="3"/>
        <v>OK</v>
      </c>
    </row>
    <row r="45" spans="1:12" ht="14.1" customHeight="1">
      <c r="A45" s="139" t="str">
        <f>'t1'!A44</f>
        <v>POSIZIONE ECONOMICA A4</v>
      </c>
      <c r="B45" s="186" t="str">
        <f>'t1'!B44</f>
        <v>028000</v>
      </c>
      <c r="C45" s="334">
        <f>'t1'!L44</f>
        <v>0</v>
      </c>
      <c r="D45" s="334">
        <f>'t7'!W44</f>
        <v>0</v>
      </c>
      <c r="E45" s="335">
        <f>'t8'!AA44</f>
        <v>0</v>
      </c>
      <c r="F45" s="335">
        <f>'t9'!O44</f>
        <v>0</v>
      </c>
      <c r="G45" s="103" t="str">
        <f t="shared" si="2"/>
        <v>OK</v>
      </c>
      <c r="H45" s="335">
        <f>'t1'!M44</f>
        <v>0</v>
      </c>
      <c r="I45" s="335">
        <f>'t7'!X44</f>
        <v>0</v>
      </c>
      <c r="J45" s="335">
        <f>'t8'!AB44</f>
        <v>0</v>
      </c>
      <c r="K45" s="334">
        <f>'t9'!P44</f>
        <v>0</v>
      </c>
      <c r="L45" s="103" t="str">
        <f t="shared" si="3"/>
        <v>OK</v>
      </c>
    </row>
    <row r="46" spans="1:12" ht="14.1" customHeight="1">
      <c r="A46" s="139" t="str">
        <f>'t1'!A45</f>
        <v>POSIZIONE ECONOMICA A3</v>
      </c>
      <c r="B46" s="186" t="str">
        <f>'t1'!B45</f>
        <v>027000</v>
      </c>
      <c r="C46" s="334">
        <f>'t1'!L45</f>
        <v>0</v>
      </c>
      <c r="D46" s="334">
        <f>'t7'!W45</f>
        <v>0</v>
      </c>
      <c r="E46" s="335">
        <f>'t8'!AA45</f>
        <v>0</v>
      </c>
      <c r="F46" s="335">
        <f>'t9'!O45</f>
        <v>0</v>
      </c>
      <c r="G46" s="103" t="str">
        <f t="shared" si="2"/>
        <v>OK</v>
      </c>
      <c r="H46" s="335">
        <f>'t1'!M45</f>
        <v>0</v>
      </c>
      <c r="I46" s="335">
        <f>'t7'!X45</f>
        <v>0</v>
      </c>
      <c r="J46" s="335">
        <f>'t8'!AB45</f>
        <v>0</v>
      </c>
      <c r="K46" s="334">
        <f>'t9'!P45</f>
        <v>0</v>
      </c>
      <c r="L46" s="103" t="str">
        <f t="shared" si="3"/>
        <v>OK</v>
      </c>
    </row>
    <row r="47" spans="1:12" ht="14.1" customHeight="1">
      <c r="A47" s="139" t="str">
        <f>'t1'!A46</f>
        <v>POSIZIONE ECONOMICA A2</v>
      </c>
      <c r="B47" s="186" t="str">
        <f>'t1'!B46</f>
        <v>025000</v>
      </c>
      <c r="C47" s="334">
        <f>'t1'!L46</f>
        <v>0</v>
      </c>
      <c r="D47" s="334">
        <f>'t7'!W46</f>
        <v>0</v>
      </c>
      <c r="E47" s="335">
        <f>'t8'!AA46</f>
        <v>0</v>
      </c>
      <c r="F47" s="335">
        <f>'t9'!O46</f>
        <v>0</v>
      </c>
      <c r="G47" s="103" t="str">
        <f t="shared" si="2"/>
        <v>OK</v>
      </c>
      <c r="H47" s="335">
        <f>'t1'!M46</f>
        <v>0</v>
      </c>
      <c r="I47" s="335">
        <f>'t7'!X46</f>
        <v>0</v>
      </c>
      <c r="J47" s="335">
        <f>'t8'!AB46</f>
        <v>0</v>
      </c>
      <c r="K47" s="334">
        <f>'t9'!P46</f>
        <v>0</v>
      </c>
      <c r="L47" s="103" t="str">
        <f t="shared" si="3"/>
        <v>OK</v>
      </c>
    </row>
    <row r="48" spans="1:12" ht="14.1" customHeight="1">
      <c r="A48" s="139" t="str">
        <f>'t1'!A47</f>
        <v>POSIZIONE ECONOMICA DI ACCESSO A1</v>
      </c>
      <c r="B48" s="186" t="str">
        <f>'t1'!B47</f>
        <v>053000</v>
      </c>
      <c r="C48" s="334">
        <f>'t1'!L47</f>
        <v>0</v>
      </c>
      <c r="D48" s="334">
        <f>'t7'!W47</f>
        <v>0</v>
      </c>
      <c r="E48" s="335">
        <f>'t8'!AA47</f>
        <v>0</v>
      </c>
      <c r="F48" s="335">
        <f>'t9'!O47</f>
        <v>0</v>
      </c>
      <c r="G48" s="103" t="str">
        <f t="shared" si="2"/>
        <v>OK</v>
      </c>
      <c r="H48" s="335">
        <f>'t1'!M47</f>
        <v>0</v>
      </c>
      <c r="I48" s="335">
        <f>'t7'!X47</f>
        <v>0</v>
      </c>
      <c r="J48" s="335">
        <f>'t8'!AB47</f>
        <v>0</v>
      </c>
      <c r="K48" s="334">
        <f>'t9'!P47</f>
        <v>0</v>
      </c>
      <c r="L48" s="103" t="str">
        <f t="shared" si="3"/>
        <v>OK</v>
      </c>
    </row>
    <row r="49" spans="1:12" ht="14.1" customHeight="1">
      <c r="A49" s="139" t="str">
        <f>'t1'!A48</f>
        <v>CONTRATTISTI (a)</v>
      </c>
      <c r="B49" s="186" t="str">
        <f>'t1'!B48</f>
        <v>000061</v>
      </c>
      <c r="C49" s="334">
        <f>'t1'!L48</f>
        <v>0</v>
      </c>
      <c r="D49" s="334">
        <f>'t7'!W48</f>
        <v>0</v>
      </c>
      <c r="E49" s="335">
        <f>'t8'!AA48</f>
        <v>0</v>
      </c>
      <c r="F49" s="335">
        <f>'t9'!O48</f>
        <v>0</v>
      </c>
      <c r="G49" s="103" t="str">
        <f>IF(COUNTIF(C49:F49,C49)=4,"OK","ERRORE")</f>
        <v>OK</v>
      </c>
      <c r="H49" s="335">
        <f>'t1'!M48</f>
        <v>0</v>
      </c>
      <c r="I49" s="335">
        <f>'t7'!X48</f>
        <v>0</v>
      </c>
      <c r="J49" s="335">
        <f>'t8'!AB48</f>
        <v>0</v>
      </c>
      <c r="K49" s="334">
        <f>'t9'!P48</f>
        <v>0</v>
      </c>
      <c r="L49" s="103" t="str">
        <f>IF(COUNTIF(H49:K49,H49)=4,"OK","ERRORE")</f>
        <v>OK</v>
      </c>
    </row>
    <row r="50" spans="1:12" ht="14.1" customHeight="1">
      <c r="A50" s="139" t="str">
        <f>'t1'!A49</f>
        <v>COLLABORATORE A T.D. ART. 90 TUEL (b)</v>
      </c>
      <c r="B50" s="186" t="str">
        <f>'t1'!B49</f>
        <v>000096</v>
      </c>
      <c r="C50" s="334">
        <f>'t1'!L49</f>
        <v>0</v>
      </c>
      <c r="D50" s="334">
        <f>'t7'!W49</f>
        <v>0</v>
      </c>
      <c r="E50" s="335">
        <f>'t8'!AA49</f>
        <v>0</v>
      </c>
      <c r="F50" s="335">
        <f>'t9'!O49</f>
        <v>0</v>
      </c>
      <c r="G50" s="103" t="str">
        <f t="shared" si="2"/>
        <v>OK</v>
      </c>
      <c r="H50" s="335">
        <f>'t1'!M49</f>
        <v>0</v>
      </c>
      <c r="I50" s="335">
        <f>'t7'!X49</f>
        <v>0</v>
      </c>
      <c r="J50" s="335">
        <f>'t8'!AB49</f>
        <v>0</v>
      </c>
      <c r="K50" s="334">
        <f>'t9'!P49</f>
        <v>0</v>
      </c>
      <c r="L50" s="103" t="str">
        <f t="shared" si="3"/>
        <v>OK</v>
      </c>
    </row>
    <row r="51" spans="1:12" ht="15.75" customHeight="1">
      <c r="A51" s="139" t="str">
        <f>'t1'!A50</f>
        <v>TOTALE</v>
      </c>
      <c r="B51" s="175"/>
      <c r="C51" s="335">
        <f>SUM(C7:C50)</f>
        <v>1</v>
      </c>
      <c r="D51" s="335">
        <f>SUM(D7:D50)</f>
        <v>1</v>
      </c>
      <c r="E51" s="335">
        <f>SUM(E7:E50)</f>
        <v>1</v>
      </c>
      <c r="F51" s="335">
        <f>SUM(F7:F50)</f>
        <v>1</v>
      </c>
      <c r="G51" s="103" t="str">
        <f t="shared" si="0"/>
        <v>OK</v>
      </c>
      <c r="H51" s="335">
        <f>SUM(H7:H50)</f>
        <v>3</v>
      </c>
      <c r="I51" s="335">
        <f>SUM(I7:I50)</f>
        <v>3</v>
      </c>
      <c r="J51" s="335">
        <f>SUM(J7:J50)</f>
        <v>3</v>
      </c>
      <c r="K51" s="335">
        <f>SUM(K7:K50)</f>
        <v>3</v>
      </c>
      <c r="L51" s="103" t="str">
        <f t="shared" si="1"/>
        <v>OK</v>
      </c>
    </row>
  </sheetData>
  <sheetProtection password="EA98" sheet="1" formatColumns="0" selectLockedCells="1" selectUnlockedCells="1"/>
  <mergeCells count="4">
    <mergeCell ref="C4:G4"/>
    <mergeCell ref="H4:L4"/>
    <mergeCell ref="E2:L2"/>
    <mergeCell ref="A1:J1"/>
  </mergeCells>
  <phoneticPr fontId="30" type="noConversion"/>
  <printOptions horizontalCentered="1" verticalCentered="1"/>
  <pageMargins left="0" right="0" top="0.17" bottom="0.16" header="0.19" footer="0.17"/>
  <pageSetup paperSize="9" scale="71" orientation="landscape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8">
    <pageSetUpPr fitToPage="1"/>
  </sheetPr>
  <dimension ref="A1:Q185"/>
  <sheetViews>
    <sheetView zoomScale="75" zoomScaleNormal="75" workbookViewId="0">
      <selection activeCell="F37" sqref="F37"/>
    </sheetView>
  </sheetViews>
  <sheetFormatPr defaultColWidth="12.85546875" defaultRowHeight="15"/>
  <cols>
    <col min="1" max="1" width="6.85546875" style="655" customWidth="1"/>
    <col min="2" max="2" width="25.85546875" style="662" customWidth="1"/>
    <col min="3" max="3" width="5.42578125" style="662" customWidth="1"/>
    <col min="4" max="4" width="56.140625" style="662" customWidth="1"/>
    <col min="5" max="5" width="22.42578125" style="662" customWidth="1"/>
    <col min="6" max="6" width="23.140625" style="662" customWidth="1"/>
    <col min="7" max="7" width="21.42578125" style="662" customWidth="1"/>
    <col min="8" max="8" width="89.85546875" style="839" customWidth="1"/>
    <col min="9" max="9" width="5" style="618" hidden="1" customWidth="1"/>
    <col min="10" max="10" width="11.140625" style="615" hidden="1" customWidth="1"/>
    <col min="11" max="11" width="12.85546875" style="615" hidden="1" customWidth="1"/>
    <col min="12" max="14" width="12.85546875" style="615" customWidth="1"/>
    <col min="15" max="16384" width="12.85546875" style="615"/>
  </cols>
  <sheetData>
    <row r="1" spans="1:14" ht="62.25" customHeight="1">
      <c r="B1" s="656"/>
      <c r="C1" s="656"/>
      <c r="D1" s="656"/>
      <c r="E1" s="656"/>
      <c r="F1" s="656"/>
      <c r="G1" s="656"/>
      <c r="H1" s="829" t="s">
        <v>422</v>
      </c>
      <c r="I1" s="566"/>
    </row>
    <row r="2" spans="1:14" ht="26.25" customHeight="1" thickBot="1">
      <c r="A2" s="657"/>
      <c r="B2" s="658"/>
      <c r="C2" s="658"/>
      <c r="D2" s="560" t="str">
        <f>'t1'!A1</f>
        <v>COMPARTO REGIONI ED AUTONOMIE LOCALI - anno 2017</v>
      </c>
      <c r="E2" s="658"/>
      <c r="F2" s="658"/>
      <c r="G2" s="658"/>
      <c r="H2" s="830"/>
      <c r="I2" s="566"/>
    </row>
    <row r="3" spans="1:14">
      <c r="B3" s="556"/>
      <c r="C3" s="556"/>
      <c r="D3" s="556"/>
      <c r="E3" s="556"/>
      <c r="F3" s="556"/>
      <c r="G3" s="556"/>
      <c r="H3" s="831"/>
      <c r="I3" s="566"/>
    </row>
    <row r="4" spans="1:14" hidden="1">
      <c r="B4" s="552"/>
      <c r="C4" s="551"/>
      <c r="D4" s="552"/>
      <c r="E4" s="552"/>
      <c r="F4" s="570" t="s">
        <v>101</v>
      </c>
      <c r="G4" s="552"/>
      <c r="H4" s="831"/>
      <c r="I4" s="566"/>
    </row>
    <row r="5" spans="1:14" hidden="1">
      <c r="B5" s="552"/>
      <c r="C5" s="551"/>
      <c r="D5" s="552"/>
      <c r="E5" s="552"/>
      <c r="F5" s="577"/>
      <c r="G5" s="552"/>
      <c r="H5" s="831"/>
      <c r="I5" s="566"/>
    </row>
    <row r="6" spans="1:14" ht="17.25" hidden="1" customHeight="1">
      <c r="A6" s="655" t="s">
        <v>348</v>
      </c>
      <c r="B6" s="557" t="s">
        <v>429</v>
      </c>
      <c r="C6" s="659"/>
      <c r="D6" s="656"/>
      <c r="E6" s="656"/>
      <c r="F6" s="575"/>
      <c r="G6" s="656"/>
      <c r="H6" s="831"/>
      <c r="I6" s="566"/>
    </row>
    <row r="7" spans="1:14" ht="17.25" hidden="1" customHeight="1">
      <c r="B7" s="552"/>
      <c r="C7" s="551"/>
      <c r="D7" s="552"/>
      <c r="E7" s="552"/>
      <c r="F7" s="552"/>
      <c r="G7" s="552"/>
      <c r="H7" s="831"/>
      <c r="I7" s="566"/>
    </row>
    <row r="8" spans="1:14" ht="15" hidden="1" customHeight="1">
      <c r="A8" s="655" t="s">
        <v>349</v>
      </c>
      <c r="B8" s="585" t="s">
        <v>430</v>
      </c>
      <c r="C8" s="551"/>
      <c r="D8" s="552"/>
      <c r="E8" s="552"/>
      <c r="F8" s="575"/>
      <c r="G8" s="552"/>
      <c r="H8" s="831"/>
      <c r="I8" s="566"/>
    </row>
    <row r="9" spans="1:14" ht="15" hidden="1" customHeight="1">
      <c r="B9" s="586"/>
      <c r="C9" s="551"/>
      <c r="D9" s="552"/>
      <c r="E9" s="552"/>
      <c r="F9" s="552"/>
      <c r="G9" s="552"/>
      <c r="H9" s="831"/>
      <c r="I9" s="566"/>
    </row>
    <row r="10" spans="1:14" ht="17.25" hidden="1" customHeight="1">
      <c r="B10" s="552"/>
      <c r="C10" s="551"/>
      <c r="D10" s="552"/>
      <c r="E10" s="552"/>
      <c r="F10" s="570" t="s">
        <v>313</v>
      </c>
      <c r="G10" s="570" t="s">
        <v>314</v>
      </c>
      <c r="H10" s="831"/>
      <c r="I10" s="566"/>
    </row>
    <row r="11" spans="1:14" ht="20.25" hidden="1" customHeight="1">
      <c r="A11" s="655" t="s">
        <v>355</v>
      </c>
      <c r="B11" s="558" t="s">
        <v>428</v>
      </c>
      <c r="C11" s="551"/>
      <c r="D11" s="552"/>
      <c r="E11" s="552"/>
      <c r="F11" s="521"/>
      <c r="G11" s="521"/>
      <c r="H11" s="720" t="str">
        <f>IF(I11=0,"RISPOSTA OBBLIGATORIA","")</f>
        <v>RISPOSTA OBBLIGATORIA</v>
      </c>
      <c r="I11" s="566">
        <v>0</v>
      </c>
      <c r="N11" s="617"/>
    </row>
    <row r="12" spans="1:14" ht="15" hidden="1" customHeight="1">
      <c r="A12" s="588"/>
      <c r="B12" s="588"/>
      <c r="C12" s="588"/>
      <c r="D12" s="588"/>
      <c r="E12" s="588"/>
      <c r="F12" s="588"/>
      <c r="G12" s="588"/>
      <c r="H12" s="833"/>
      <c r="I12" s="475"/>
    </row>
    <row r="13" spans="1:14" ht="15" customHeight="1">
      <c r="B13" s="656"/>
      <c r="C13" s="656"/>
      <c r="D13" s="656"/>
      <c r="E13" s="656"/>
      <c r="F13" s="570" t="s">
        <v>313</v>
      </c>
      <c r="G13" s="570" t="s">
        <v>314</v>
      </c>
      <c r="H13" s="831"/>
      <c r="I13" s="566"/>
    </row>
    <row r="14" spans="1:14" ht="30.75" customHeight="1">
      <c r="A14" s="655" t="s">
        <v>356</v>
      </c>
      <c r="B14" s="1366" t="s">
        <v>533</v>
      </c>
      <c r="C14" s="1366"/>
      <c r="D14" s="1366"/>
      <c r="E14" s="1367"/>
      <c r="F14" s="608"/>
      <c r="G14" s="608"/>
      <c r="H14" s="720" t="str">
        <f>IF(I14=0,"RISPOSTA OBBLIGATORIA","")</f>
        <v>RISPOSTA OBBLIGATORIA</v>
      </c>
      <c r="I14" s="566">
        <v>0</v>
      </c>
      <c r="J14" s="615" t="str">
        <f>IF(I14=1,"VERO",IF(I14=2,"FALSO",""))</f>
        <v/>
      </c>
    </row>
    <row r="15" spans="1:14" ht="15" customHeight="1">
      <c r="B15" s="656"/>
      <c r="C15" s="656"/>
      <c r="D15" s="656"/>
      <c r="E15" s="656"/>
      <c r="F15" s="679"/>
      <c r="G15" s="679"/>
      <c r="H15" s="831"/>
      <c r="I15" s="566"/>
    </row>
    <row r="16" spans="1:14" ht="20.25" hidden="1" customHeight="1">
      <c r="B16" s="656"/>
      <c r="C16" s="656"/>
      <c r="D16" s="656"/>
      <c r="E16" s="656"/>
      <c r="F16" s="577"/>
      <c r="G16" s="577"/>
      <c r="H16" s="831"/>
      <c r="I16" s="566"/>
      <c r="N16" s="617"/>
    </row>
    <row r="17" spans="1:14" ht="15" hidden="1" customHeight="1">
      <c r="B17" s="656"/>
      <c r="C17" s="656"/>
      <c r="D17" s="656"/>
      <c r="E17" s="656"/>
      <c r="F17" s="656"/>
      <c r="G17" s="656"/>
      <c r="H17" s="831"/>
      <c r="I17" s="566"/>
    </row>
    <row r="18" spans="1:14" ht="43.5" customHeight="1">
      <c r="A18" s="655" t="s">
        <v>350</v>
      </c>
      <c r="B18" s="1368" t="s">
        <v>1067</v>
      </c>
      <c r="C18" s="1369"/>
      <c r="D18" s="1369"/>
      <c r="E18" s="1369"/>
      <c r="F18" s="521"/>
      <c r="G18" s="521"/>
      <c r="H18" s="720" t="str">
        <f>IF(I18=0,"RISPOSTA OBBLIGATORIA","")</f>
        <v>RISPOSTA OBBLIGATORIA</v>
      </c>
      <c r="I18" s="566">
        <v>0</v>
      </c>
      <c r="J18" s="615" t="str">
        <f>IF(I18=1,"VERO",IF(I18=2,"FALSO",""))</f>
        <v/>
      </c>
      <c r="N18" s="617"/>
    </row>
    <row r="19" spans="1:14" ht="15" customHeight="1">
      <c r="B19" s="656"/>
      <c r="C19" s="656"/>
      <c r="D19" s="656"/>
      <c r="E19" s="656"/>
      <c r="F19" s="656"/>
      <c r="G19" s="656"/>
      <c r="H19" s="831"/>
      <c r="I19" s="566"/>
    </row>
    <row r="20" spans="1:14" ht="43.5" customHeight="1">
      <c r="A20" s="655" t="s">
        <v>351</v>
      </c>
      <c r="B20" s="1370" t="s">
        <v>1058</v>
      </c>
      <c r="C20" s="1371"/>
      <c r="D20" s="1371"/>
      <c r="E20" s="1371"/>
      <c r="F20" s="521"/>
      <c r="G20" s="521"/>
      <c r="H20" s="720" t="str">
        <f>IF(I20=0,"RISPOSTA OBBLIGATORIA","")</f>
        <v>RISPOSTA OBBLIGATORIA</v>
      </c>
      <c r="I20" s="566">
        <v>0</v>
      </c>
      <c r="J20" s="615" t="str">
        <f>IF(I20=1,"VERO",IF(I20=2,"FALSO",""))</f>
        <v/>
      </c>
      <c r="N20" s="617"/>
    </row>
    <row r="21" spans="1:14" ht="15" customHeight="1">
      <c r="B21" s="552"/>
      <c r="C21" s="656"/>
      <c r="D21" s="656"/>
      <c r="E21" s="656"/>
      <c r="F21" s="656"/>
      <c r="G21" s="656"/>
      <c r="H21" s="831"/>
      <c r="I21" s="566"/>
    </row>
    <row r="22" spans="1:14" ht="31.5" customHeight="1">
      <c r="A22" s="655" t="s">
        <v>354</v>
      </c>
      <c r="B22" s="1370" t="s">
        <v>893</v>
      </c>
      <c r="C22" s="1371"/>
      <c r="D22" s="1371"/>
      <c r="E22" s="1371"/>
      <c r="F22" s="521"/>
      <c r="G22" s="521"/>
      <c r="H22" s="720" t="str">
        <f>IF(I22=0,"RISPOSTA OBBLIGATORIA","")</f>
        <v>RISPOSTA OBBLIGATORIA</v>
      </c>
      <c r="I22" s="566">
        <v>0</v>
      </c>
      <c r="J22" s="615" t="str">
        <f>IF(I22=1,"VERO",IF(I22=2,"FALSO",""))</f>
        <v/>
      </c>
      <c r="N22" s="617"/>
    </row>
    <row r="23" spans="1:14" ht="15" customHeight="1">
      <c r="B23" s="552"/>
      <c r="C23" s="656"/>
      <c r="D23" s="656"/>
      <c r="E23" s="656"/>
      <c r="F23" s="656"/>
      <c r="G23" s="656"/>
      <c r="H23" s="831"/>
      <c r="I23" s="566"/>
    </row>
    <row r="24" spans="1:14" ht="20.25" customHeight="1">
      <c r="B24" s="1268" t="s">
        <v>1059</v>
      </c>
      <c r="C24" s="1268"/>
      <c r="D24" s="1268"/>
      <c r="H24" s="831"/>
      <c r="N24" s="617"/>
    </row>
    <row r="25" spans="1:14" ht="28.2" customHeight="1">
      <c r="B25" s="1269" t="s">
        <v>1069</v>
      </c>
      <c r="C25" s="1366" t="s">
        <v>1060</v>
      </c>
      <c r="D25" s="1366"/>
      <c r="E25" s="1367"/>
      <c r="F25" s="521"/>
      <c r="G25" s="521"/>
      <c r="H25" s="931" t="str">
        <f>IF($I$25=1,IF(($I$26)=1,"non à possibile rispondere si ad entrambe le domande"," "),IF(AND($I$25=2,I26&gt;0)," ",IF($I$25=0,"RISPOSTA OBBLIGATORIA PER COMUNI CON POP. SUP. 1000.000 AB. E CITTA' METROPOLITANE E PROVINCE"," ")))</f>
        <v>RISPOSTA OBBLIGATORIA PER COMUNI CON POP. SUP. 1000.000 AB. E CITTA' METROPOLITANE E PROVINCE</v>
      </c>
      <c r="I25" s="566">
        <v>0</v>
      </c>
      <c r="J25" s="615" t="str">
        <f>IF(I25=1,"VERO",IF(I25=2,"FALSO",""))</f>
        <v/>
      </c>
    </row>
    <row r="26" spans="1:14" ht="28.2" customHeight="1">
      <c r="B26" s="1269" t="s">
        <v>1070</v>
      </c>
      <c r="C26" s="1366" t="s">
        <v>1061</v>
      </c>
      <c r="D26" s="1366"/>
      <c r="E26" s="1367"/>
      <c r="F26" s="521"/>
      <c r="G26" s="521"/>
      <c r="H26" s="932" t="str">
        <f>IF($I$26=1,IF(($I$25)=1,"non à possibile rispondere si ad entrambe le domande"," "),IF(AND($I$26=2,I25&gt;0)," ",IF($I$26=0,"RISPOSTA OBBLIGATORIA PER COMUNI CON POP. SUP. 1000.000 AB. E CITTA' METROPOLITANE E PROVINCE"," ")))</f>
        <v>RISPOSTA OBBLIGATORIA PER COMUNI CON POP. SUP. 1000.000 AB. E CITTA' METROPOLITANE E PROVINCE</v>
      </c>
      <c r="I26" s="566">
        <v>0</v>
      </c>
      <c r="J26" s="615" t="str">
        <f>IF(I26=1,"VERO",IF(I26=2,"FALSO",""))</f>
        <v/>
      </c>
    </row>
    <row r="27" spans="1:14" ht="32.25" hidden="1" customHeight="1">
      <c r="B27" s="656"/>
      <c r="C27" s="692"/>
      <c r="D27" s="1360" t="s">
        <v>41</v>
      </c>
      <c r="E27" s="1361"/>
      <c r="F27" s="656"/>
      <c r="G27" s="933"/>
      <c r="H27" s="909"/>
      <c r="I27" s="566"/>
    </row>
    <row r="28" spans="1:14" ht="20.25" hidden="1" customHeight="1">
      <c r="B28" s="656"/>
      <c r="C28" s="845"/>
      <c r="D28" s="552"/>
      <c r="E28" s="656"/>
      <c r="F28" s="656"/>
      <c r="G28" s="691"/>
      <c r="H28" s="834"/>
      <c r="I28" s="566"/>
    </row>
    <row r="29" spans="1:14" ht="15" hidden="1" customHeight="1">
      <c r="B29" s="656"/>
      <c r="C29" s="656"/>
      <c r="D29" s="656"/>
      <c r="E29" s="656"/>
      <c r="F29" s="656"/>
      <c r="G29" s="656"/>
      <c r="H29" s="831"/>
      <c r="I29" s="566"/>
    </row>
    <row r="30" spans="1:14" ht="15" customHeight="1">
      <c r="B30" s="656"/>
      <c r="C30" s="656"/>
      <c r="D30" s="656"/>
      <c r="E30" s="656"/>
      <c r="F30" s="656"/>
      <c r="G30" s="656"/>
      <c r="H30" s="831"/>
      <c r="I30" s="566"/>
    </row>
    <row r="31" spans="1:14" ht="15" customHeight="1">
      <c r="B31" s="656"/>
      <c r="C31" s="656"/>
      <c r="D31" s="656"/>
      <c r="E31" s="656"/>
      <c r="F31" s="570" t="s">
        <v>313</v>
      </c>
      <c r="G31" s="570" t="s">
        <v>314</v>
      </c>
      <c r="H31" s="831"/>
      <c r="I31" s="566"/>
    </row>
    <row r="32" spans="1:14" ht="32.25" customHeight="1">
      <c r="A32" s="1018" t="s">
        <v>357</v>
      </c>
      <c r="B32" s="1372" t="s">
        <v>2</v>
      </c>
      <c r="C32" s="1372"/>
      <c r="D32" s="1372"/>
      <c r="E32" s="1373"/>
      <c r="F32" s="521"/>
      <c r="G32" s="521"/>
      <c r="H32" s="720" t="str">
        <f>IF(I32=0,"RISPOSTA OBBLIGATORIA","")</f>
        <v>RISPOSTA OBBLIGATORIA</v>
      </c>
      <c r="I32" s="566">
        <v>0</v>
      </c>
      <c r="J32" s="615" t="str">
        <f>IF(I32=1,"VERO",IF(I32=2,"FALSO",""))</f>
        <v/>
      </c>
      <c r="N32" s="617"/>
    </row>
    <row r="33" spans="1:14" ht="15" customHeight="1">
      <c r="B33" s="656"/>
      <c r="C33" s="656"/>
      <c r="D33" s="656"/>
      <c r="E33" s="656"/>
      <c r="F33" s="656"/>
      <c r="G33" s="656"/>
      <c r="H33" s="831"/>
      <c r="I33" s="566"/>
    </row>
    <row r="34" spans="1:14" ht="20.25" customHeight="1">
      <c r="A34" s="1018" t="s">
        <v>423</v>
      </c>
      <c r="B34" s="1364" t="s">
        <v>458</v>
      </c>
      <c r="C34" s="1364"/>
      <c r="D34" s="1364"/>
      <c r="E34" s="1365"/>
      <c r="F34" s="521"/>
      <c r="G34" s="521"/>
      <c r="H34" s="720" t="str">
        <f>IF(I34=0,"RISPOSTA OBBLIGATORIA","")</f>
        <v>RISPOSTA OBBLIGATORIA</v>
      </c>
      <c r="I34" s="566"/>
      <c r="J34" s="615" t="str">
        <f>IF(I34=1,"VERO",IF(I34=2,"FALSO",""))</f>
        <v/>
      </c>
      <c r="N34" s="617"/>
    </row>
    <row r="35" spans="1:14" ht="15" customHeight="1">
      <c r="B35" s="656"/>
      <c r="C35" s="656"/>
      <c r="D35" s="656"/>
      <c r="E35" s="656"/>
      <c r="F35" s="656"/>
      <c r="G35" s="656"/>
      <c r="H35" s="831"/>
      <c r="I35" s="566"/>
    </row>
    <row r="36" spans="1:14" ht="15" customHeight="1">
      <c r="B36" s="656"/>
      <c r="C36" s="656"/>
      <c r="D36" s="656"/>
      <c r="E36" s="656"/>
      <c r="F36" s="570" t="s">
        <v>101</v>
      </c>
      <c r="G36" s="656"/>
      <c r="H36" s="831"/>
      <c r="I36" s="566"/>
    </row>
    <row r="37" spans="1:14" ht="33" customHeight="1">
      <c r="A37" s="1018" t="s">
        <v>444</v>
      </c>
      <c r="B37" s="1362" t="s">
        <v>705</v>
      </c>
      <c r="C37" s="1375"/>
      <c r="D37" s="1375"/>
      <c r="E37" s="1376"/>
      <c r="F37" s="865">
        <v>25.78</v>
      </c>
      <c r="G37" s="1356" t="str">
        <f>IF(F37=0,"RISPOSTA OBBLIGATORIA","")</f>
        <v/>
      </c>
      <c r="H37" s="1357"/>
      <c r="I37" s="566"/>
    </row>
    <row r="38" spans="1:14" ht="15" customHeight="1">
      <c r="B38" s="656"/>
      <c r="C38" s="656"/>
      <c r="D38" s="656"/>
      <c r="E38" s="656"/>
      <c r="F38" s="656"/>
      <c r="G38" s="656"/>
      <c r="H38" s="831"/>
      <c r="I38" s="566"/>
    </row>
    <row r="39" spans="1:14" ht="15" customHeight="1">
      <c r="B39" s="656"/>
      <c r="C39" s="656"/>
      <c r="D39" s="656"/>
      <c r="E39" s="656"/>
      <c r="F39" s="570" t="s">
        <v>313</v>
      </c>
      <c r="G39" s="570" t="s">
        <v>314</v>
      </c>
      <c r="H39" s="831"/>
      <c r="I39" s="619"/>
    </row>
    <row r="40" spans="1:14" ht="42.6" customHeight="1">
      <c r="A40" s="655" t="s">
        <v>1066</v>
      </c>
      <c r="B40" s="1366" t="s">
        <v>1111</v>
      </c>
      <c r="C40" s="1366"/>
      <c r="D40" s="1366"/>
      <c r="E40" s="1367"/>
      <c r="F40" s="711"/>
      <c r="G40" s="709"/>
      <c r="H40" s="931" t="str">
        <f>IF(I40=0,"RISPOSTA OBBLIGATORIA PER COMUNI CON POPOLAZIONE COMPRESA TRA 1.000 E 3.000 ABITANTI","")</f>
        <v>RISPOSTA OBBLIGATORIA PER COMUNI CON POPOLAZIONE COMPRESA TRA 1.000 E 3.000 ABITANTI</v>
      </c>
      <c r="I40" s="566">
        <v>0</v>
      </c>
      <c r="J40" s="615" t="str">
        <f>IF(I40=1,"VERO",IF(I40=2,"FALSO",""))</f>
        <v/>
      </c>
    </row>
    <row r="41" spans="1:14" ht="15" customHeight="1">
      <c r="B41" s="656"/>
      <c r="C41" s="656"/>
      <c r="D41" s="656"/>
      <c r="E41" s="656"/>
      <c r="F41" s="656"/>
      <c r="G41" s="656"/>
      <c r="H41" s="831"/>
      <c r="I41" s="566"/>
    </row>
    <row r="42" spans="1:14" ht="30" customHeight="1">
      <c r="A42" s="1018" t="s">
        <v>446</v>
      </c>
      <c r="B42" s="1366" t="s">
        <v>3</v>
      </c>
      <c r="C42" s="1366"/>
      <c r="D42" s="1366"/>
      <c r="E42" s="1367"/>
      <c r="F42" s="575">
        <v>0</v>
      </c>
      <c r="G42" s="1356" t="str">
        <f>IF(F42="","RISPOSTA OBBLIGATORIA","")</f>
        <v/>
      </c>
      <c r="H42" s="1357"/>
      <c r="I42" s="566"/>
    </row>
    <row r="43" spans="1:14" ht="15" customHeight="1">
      <c r="B43" s="656"/>
      <c r="C43" s="656"/>
      <c r="D43" s="656"/>
      <c r="E43" s="656"/>
      <c r="F43" s="656"/>
      <c r="G43" s="656"/>
      <c r="H43" s="831"/>
      <c r="I43" s="566"/>
    </row>
    <row r="44" spans="1:14" ht="28.5" customHeight="1">
      <c r="A44" s="1018" t="s">
        <v>447</v>
      </c>
      <c r="B44" s="1368" t="s">
        <v>535</v>
      </c>
      <c r="C44" s="1369"/>
      <c r="D44" s="1369"/>
      <c r="E44" s="1374"/>
      <c r="F44" s="575">
        <v>0</v>
      </c>
      <c r="G44" s="1356" t="str">
        <f>IF(F44="","RISPOSTA OBBLIGATORIA","")</f>
        <v/>
      </c>
      <c r="H44" s="1357"/>
      <c r="I44" s="566"/>
    </row>
    <row r="45" spans="1:14" ht="15" customHeight="1">
      <c r="B45" s="656"/>
      <c r="C45" s="656"/>
      <c r="D45" s="656"/>
      <c r="E45" s="656"/>
      <c r="F45" s="564"/>
      <c r="G45" s="656"/>
      <c r="H45" s="831"/>
      <c r="I45" s="566"/>
    </row>
    <row r="46" spans="1:14" ht="15" customHeight="1">
      <c r="B46" s="656"/>
      <c r="C46" s="656"/>
      <c r="D46" s="656"/>
      <c r="E46" s="656"/>
      <c r="F46" s="570" t="s">
        <v>313</v>
      </c>
      <c r="G46" s="570" t="s">
        <v>314</v>
      </c>
      <c r="H46" s="831"/>
      <c r="I46" s="619"/>
    </row>
    <row r="47" spans="1:14" ht="31.2" customHeight="1">
      <c r="A47" s="655" t="s">
        <v>459</v>
      </c>
      <c r="B47" s="1366" t="s">
        <v>1053</v>
      </c>
      <c r="C47" s="1366"/>
      <c r="D47" s="1366"/>
      <c r="E47" s="1367"/>
      <c r="F47" s="711"/>
      <c r="G47" s="709"/>
      <c r="H47" s="720" t="str">
        <f>IF(I47=0,"RISPOSTA OBBLIGATORIA","")</f>
        <v>RISPOSTA OBBLIGATORIA</v>
      </c>
      <c r="I47" s="566">
        <v>0</v>
      </c>
      <c r="J47" s="615" t="str">
        <f>IF(I47=1,"VERO",IF(I47=2,"FALSO",""))</f>
        <v/>
      </c>
    </row>
    <row r="48" spans="1:14" ht="22.95" customHeight="1">
      <c r="B48" s="1233"/>
      <c r="C48" s="612" t="s">
        <v>1055</v>
      </c>
      <c r="D48" s="1233"/>
      <c r="E48" s="1233"/>
      <c r="F48" s="712"/>
      <c r="G48" s="708"/>
      <c r="H48" s="837"/>
      <c r="I48" s="566"/>
    </row>
    <row r="49" spans="1:10" ht="40.200000000000003" customHeight="1">
      <c r="B49" s="663">
        <v>23</v>
      </c>
      <c r="C49" s="1366" t="s">
        <v>1054</v>
      </c>
      <c r="D49" s="1366"/>
      <c r="E49" s="1367"/>
      <c r="F49" s="711"/>
      <c r="G49" s="709"/>
      <c r="H49" s="720" t="str">
        <f>IF($I$47=1,IF(($I$49)=0,"RISPONDERE OBBLIGATORIAMENTE ALLA DOMANDA"," "),IF(AND($I$47&gt;0,$I$49&gt;0),"LA RISPOSTA DATA IN QUESTA SEZIONE NON VERRA' CONSIDERATA",IF(I49&gt;0,"RISPONDERE ALLA DOMANDA 21","  ")))</f>
        <v xml:space="preserve">  </v>
      </c>
      <c r="I49" s="566">
        <v>0</v>
      </c>
      <c r="J49" s="615" t="str">
        <f>IF(I49=1,"VERO",IF(I49=2,"FALSO",""))</f>
        <v/>
      </c>
    </row>
    <row r="50" spans="1:10" ht="15" customHeight="1">
      <c r="B50" s="558"/>
      <c r="C50" s="612"/>
      <c r="D50" s="612"/>
      <c r="E50" s="1233"/>
      <c r="F50" s="712"/>
      <c r="G50" s="708"/>
      <c r="H50" s="837"/>
      <c r="I50" s="566"/>
    </row>
    <row r="51" spans="1:10" ht="19.95" customHeight="1">
      <c r="B51" s="656"/>
      <c r="C51" s="656"/>
      <c r="D51" s="656"/>
      <c r="E51" s="656"/>
      <c r="F51" s="570" t="s">
        <v>313</v>
      </c>
      <c r="G51" s="570" t="s">
        <v>314</v>
      </c>
      <c r="H51" s="831"/>
      <c r="I51" s="619"/>
    </row>
    <row r="52" spans="1:10" ht="29.4" customHeight="1">
      <c r="A52" s="1019" t="s">
        <v>1056</v>
      </c>
      <c r="B52" s="1366" t="s">
        <v>1057</v>
      </c>
      <c r="C52" s="1366"/>
      <c r="D52" s="1366"/>
      <c r="E52" s="1367"/>
      <c r="F52" s="711"/>
      <c r="G52" s="709"/>
      <c r="H52" s="720" t="str">
        <f>IF(I52=0,"RISPOSTA OBBLIGATORIA","")</f>
        <v>RISPOSTA OBBLIGATORIA</v>
      </c>
      <c r="I52" s="566">
        <v>0</v>
      </c>
      <c r="J52" s="615" t="str">
        <f>IF(I52=1,"VERO",IF(I52=2,"FALSO",""))</f>
        <v/>
      </c>
    </row>
    <row r="53" spans="1:10" ht="15" customHeight="1">
      <c r="B53" s="558"/>
      <c r="C53" s="612"/>
      <c r="D53" s="612"/>
      <c r="E53" s="1233"/>
      <c r="F53" s="712"/>
      <c r="G53" s="708"/>
      <c r="H53" s="837"/>
      <c r="I53" s="566"/>
    </row>
    <row r="54" spans="1:10" ht="15" customHeight="1">
      <c r="B54" s="656"/>
      <c r="C54" s="656"/>
      <c r="D54" s="656"/>
      <c r="E54" s="656"/>
      <c r="F54" s="570" t="s">
        <v>534</v>
      </c>
      <c r="G54" s="656"/>
      <c r="H54" s="831"/>
      <c r="I54" s="566"/>
    </row>
    <row r="55" spans="1:10" ht="30" customHeight="1">
      <c r="A55" s="655" t="s">
        <v>35</v>
      </c>
      <c r="B55" s="1366" t="s">
        <v>36</v>
      </c>
      <c r="C55" s="1366"/>
      <c r="D55" s="1366"/>
      <c r="E55" s="1367"/>
      <c r="F55" s="575">
        <v>0</v>
      </c>
      <c r="G55" s="1356" t="str">
        <f>IF(F55="","RISPOSTA OBBLIGATORIA","")</f>
        <v/>
      </c>
      <c r="H55" s="1357"/>
      <c r="I55" s="566"/>
    </row>
    <row r="56" spans="1:10" ht="15" customHeight="1">
      <c r="B56" s="656"/>
      <c r="C56" s="656"/>
      <c r="D56" s="656"/>
      <c r="E56" s="656"/>
      <c r="F56" s="656"/>
      <c r="G56" s="656"/>
      <c r="H56" s="831"/>
      <c r="I56" s="566"/>
    </row>
    <row r="57" spans="1:10" ht="15" customHeight="1">
      <c r="B57" s="656"/>
      <c r="C57" s="656"/>
      <c r="D57" s="656"/>
      <c r="E57" s="656"/>
      <c r="F57" s="570" t="s">
        <v>534</v>
      </c>
      <c r="G57" s="656"/>
      <c r="H57" s="831"/>
      <c r="I57" s="566"/>
    </row>
    <row r="58" spans="1:10" ht="30" customHeight="1">
      <c r="A58" s="655" t="s">
        <v>37</v>
      </c>
      <c r="B58" s="1366" t="s">
        <v>40</v>
      </c>
      <c r="C58" s="1366"/>
      <c r="D58" s="1366"/>
      <c r="E58" s="1367"/>
      <c r="F58" s="575">
        <v>0</v>
      </c>
      <c r="G58" s="1356" t="str">
        <f>IF(F58="","RISPOSTA OBBLIGATORIA","")</f>
        <v/>
      </c>
      <c r="H58" s="1357"/>
      <c r="I58" s="566"/>
    </row>
    <row r="59" spans="1:10" ht="15" customHeight="1">
      <c r="B59" s="656"/>
      <c r="C59" s="656"/>
      <c r="D59" s="656"/>
      <c r="E59" s="656"/>
      <c r="F59" s="656"/>
      <c r="G59" s="656"/>
      <c r="H59" s="831"/>
      <c r="I59" s="566"/>
    </row>
    <row r="60" spans="1:10" ht="15" customHeight="1">
      <c r="B60" s="656"/>
      <c r="C60" s="656"/>
      <c r="D60" s="656"/>
      <c r="E60" s="656"/>
      <c r="F60" s="570" t="s">
        <v>534</v>
      </c>
      <c r="G60" s="656"/>
      <c r="H60" s="831"/>
      <c r="I60" s="566"/>
    </row>
    <row r="61" spans="1:10" ht="30" customHeight="1">
      <c r="A61" s="655" t="s">
        <v>39</v>
      </c>
      <c r="B61" s="1366" t="s">
        <v>38</v>
      </c>
      <c r="C61" s="1366"/>
      <c r="D61" s="1366"/>
      <c r="E61" s="1367"/>
      <c r="F61" s="575">
        <v>1</v>
      </c>
      <c r="G61" s="1356" t="str">
        <f>IF(F61="","RISPOSTA OBBLIGATORIA","")</f>
        <v/>
      </c>
      <c r="H61" s="1357"/>
      <c r="I61" s="566"/>
    </row>
    <row r="62" spans="1:10" ht="15" customHeight="1">
      <c r="A62" s="707"/>
      <c r="B62" s="841"/>
      <c r="C62" s="841"/>
      <c r="D62" s="841"/>
      <c r="E62" s="841"/>
      <c r="F62" s="710"/>
      <c r="G62" s="708"/>
      <c r="H62" s="837"/>
      <c r="I62" s="566"/>
    </row>
    <row r="63" spans="1:10" ht="15" customHeight="1">
      <c r="B63" s="656"/>
      <c r="C63" s="656"/>
      <c r="D63" s="656"/>
      <c r="E63" s="656"/>
      <c r="F63" s="570" t="s">
        <v>313</v>
      </c>
      <c r="G63" s="570" t="s">
        <v>314</v>
      </c>
      <c r="H63" s="831"/>
      <c r="I63" s="619"/>
    </row>
    <row r="64" spans="1:10" ht="30" customHeight="1">
      <c r="A64" s="1019" t="s">
        <v>694</v>
      </c>
      <c r="B64" s="1366" t="s">
        <v>723</v>
      </c>
      <c r="C64" s="1366"/>
      <c r="D64" s="1366"/>
      <c r="E64" s="1367"/>
      <c r="F64" s="711"/>
      <c r="G64" s="709"/>
      <c r="H64" s="720" t="str">
        <f>IF(I64=0,"RISPOSTA OBBLIGATORIA","")</f>
        <v>RISPOSTA OBBLIGATORIA</v>
      </c>
      <c r="I64" s="566">
        <v>0</v>
      </c>
      <c r="J64" s="615" t="str">
        <f>IF(I64=1,"VERO",IF(I64=2,"FALSO",""))</f>
        <v/>
      </c>
    </row>
    <row r="65" spans="1:9" ht="20.25" customHeight="1">
      <c r="A65" s="707"/>
      <c r="B65" s="841"/>
      <c r="C65" s="612" t="s">
        <v>696</v>
      </c>
      <c r="D65" s="841"/>
      <c r="E65" s="841"/>
      <c r="F65" s="712"/>
      <c r="G65" s="708"/>
      <c r="H65" s="837"/>
      <c r="I65" s="566"/>
    </row>
    <row r="66" spans="1:9" ht="15" customHeight="1">
      <c r="B66" s="656"/>
      <c r="C66" s="656"/>
      <c r="D66" s="656"/>
      <c r="E66" s="656"/>
      <c r="F66" s="570" t="s">
        <v>695</v>
      </c>
      <c r="G66" s="656"/>
      <c r="H66" s="831"/>
      <c r="I66" s="566"/>
    </row>
    <row r="67" spans="1:9" ht="30" customHeight="1">
      <c r="A67" s="707"/>
      <c r="B67" s="656">
        <v>29</v>
      </c>
      <c r="C67" s="1366" t="s">
        <v>707</v>
      </c>
      <c r="D67" s="1366"/>
      <c r="E67" s="1367"/>
      <c r="F67" s="575">
        <v>0</v>
      </c>
      <c r="G67" s="1358" t="str">
        <f>IF($I$64=1,IF(($F$67+$F$70)=0,"RISPONDERE OBBLIGATORIAMENTE ALLA DOMANDA 29 E/O 30"," "),IF(AND($I$64=2,F67&gt;0),"LA RISPOSTA DATA IN QUESTA SEZIONE NON VERRA' CONSIDERATA",IF(F67&gt;0,"RISPONDERE ALLA DOMANDA 28"," ")))</f>
        <v xml:space="preserve"> </v>
      </c>
      <c r="H67" s="1359"/>
      <c r="I67" s="566"/>
    </row>
    <row r="68" spans="1:9" ht="15" customHeight="1">
      <c r="A68" s="707"/>
      <c r="B68" s="841"/>
      <c r="C68" s="841"/>
      <c r="D68" s="841"/>
      <c r="E68" s="841"/>
      <c r="F68" s="712"/>
      <c r="G68" s="708"/>
      <c r="H68" s="837"/>
      <c r="I68" s="566"/>
    </row>
    <row r="69" spans="1:9" ht="15" customHeight="1">
      <c r="B69" s="656"/>
      <c r="C69" s="656"/>
      <c r="D69" s="656"/>
      <c r="E69" s="656"/>
      <c r="F69" s="570" t="s">
        <v>695</v>
      </c>
      <c r="G69" s="656"/>
      <c r="H69" s="831"/>
      <c r="I69" s="566"/>
    </row>
    <row r="70" spans="1:9" ht="30" customHeight="1">
      <c r="A70" s="707"/>
      <c r="B70" s="656">
        <v>30</v>
      </c>
      <c r="C70" s="1366" t="s">
        <v>708</v>
      </c>
      <c r="D70" s="1366"/>
      <c r="E70" s="1367"/>
      <c r="F70" s="575">
        <v>0</v>
      </c>
      <c r="G70" s="1358" t="str">
        <f>IF($I$64=1,IF(($F$67+$F$70)=0,"RISPONDERE OBBLIGATORIAMENTE ALLA DOMANDA 29 E/O 30"," "),IF(AND($I$64=2,F70&gt;0),"LA RISPOSTA DATA IN QUESTA SEZIONE NON VERRA' CONSIDERATA",IF(F70&gt;0,"RISPONDERE ALLA DOMANDA 28"," ")))</f>
        <v xml:space="preserve"> </v>
      </c>
      <c r="H70" s="1359"/>
      <c r="I70" s="566"/>
    </row>
    <row r="71" spans="1:9">
      <c r="H71" s="831"/>
    </row>
    <row r="72" spans="1:9" hidden="1"/>
    <row r="73" spans="1:9" hidden="1"/>
    <row r="74" spans="1:9" hidden="1"/>
    <row r="75" spans="1:9" hidden="1"/>
    <row r="76" spans="1:9" hidden="1"/>
    <row r="77" spans="1:9" hidden="1"/>
    <row r="78" spans="1:9" hidden="1"/>
    <row r="79" spans="1:9" hidden="1"/>
    <row r="80" spans="1:9" ht="15" hidden="1" customHeight="1">
      <c r="B80" s="552"/>
      <c r="C80" s="552"/>
      <c r="D80" s="552"/>
      <c r="E80" s="552"/>
      <c r="F80" s="552"/>
      <c r="G80" s="552"/>
      <c r="H80" s="832"/>
      <c r="I80" s="566"/>
    </row>
    <row r="81" spans="2:9" ht="15" hidden="1" customHeight="1">
      <c r="B81" s="552"/>
      <c r="C81" s="552"/>
      <c r="D81" s="552"/>
      <c r="E81" s="552"/>
      <c r="F81" s="552"/>
      <c r="G81" s="552"/>
      <c r="H81" s="832"/>
      <c r="I81" s="566"/>
    </row>
    <row r="82" spans="2:9" ht="15" hidden="1" customHeight="1">
      <c r="B82" s="552"/>
      <c r="C82" s="552"/>
      <c r="D82" s="552"/>
      <c r="E82" s="552"/>
      <c r="F82" s="552"/>
      <c r="G82" s="552"/>
      <c r="H82" s="832"/>
      <c r="I82" s="566"/>
    </row>
    <row r="83" spans="2:9" ht="15" hidden="1" customHeight="1">
      <c r="B83" s="552"/>
      <c r="C83" s="552"/>
      <c r="D83" s="552"/>
      <c r="E83" s="552"/>
      <c r="F83" s="552"/>
      <c r="G83" s="552"/>
      <c r="H83" s="832"/>
      <c r="I83" s="566"/>
    </row>
    <row r="84" spans="2:9" ht="15" hidden="1" customHeight="1">
      <c r="B84" s="552"/>
      <c r="C84" s="552"/>
      <c r="D84" s="552"/>
      <c r="E84" s="552"/>
      <c r="F84" s="552"/>
      <c r="G84" s="552"/>
      <c r="H84" s="832"/>
      <c r="I84" s="566"/>
    </row>
    <row r="85" spans="2:9" ht="15" hidden="1" customHeight="1">
      <c r="B85" s="552"/>
      <c r="C85" s="552"/>
      <c r="D85" s="552"/>
      <c r="E85" s="552"/>
      <c r="F85" s="552"/>
      <c r="G85" s="552"/>
      <c r="H85" s="832"/>
      <c r="I85" s="566"/>
    </row>
    <row r="86" spans="2:9" ht="15" hidden="1" customHeight="1">
      <c r="B86" s="552"/>
      <c r="C86" s="552"/>
      <c r="D86" s="552"/>
      <c r="E86" s="552"/>
      <c r="F86" s="552"/>
      <c r="G86" s="552"/>
      <c r="H86" s="832"/>
      <c r="I86" s="566"/>
    </row>
    <row r="87" spans="2:9" ht="15" hidden="1" customHeight="1">
      <c r="B87" s="552"/>
      <c r="C87" s="552"/>
      <c r="D87" s="552"/>
      <c r="E87" s="552"/>
      <c r="F87" s="552"/>
      <c r="G87" s="552"/>
      <c r="H87" s="832"/>
      <c r="I87" s="475"/>
    </row>
    <row r="88" spans="2:9" ht="15" hidden="1" customHeight="1">
      <c r="B88" s="552"/>
      <c r="C88" s="552"/>
      <c r="D88" s="552"/>
      <c r="E88" s="552"/>
      <c r="F88" s="552"/>
      <c r="G88" s="552"/>
      <c r="H88" s="832"/>
      <c r="I88" s="475"/>
    </row>
    <row r="89" spans="2:9" ht="15" hidden="1" customHeight="1">
      <c r="B89" s="552"/>
      <c r="C89" s="552"/>
      <c r="D89" s="552"/>
      <c r="E89" s="552"/>
      <c r="F89" s="552"/>
      <c r="G89" s="552"/>
      <c r="H89" s="832"/>
      <c r="I89" s="475"/>
    </row>
    <row r="90" spans="2:9" ht="15" hidden="1" customHeight="1">
      <c r="B90" s="552"/>
      <c r="C90" s="552"/>
      <c r="D90" s="552"/>
      <c r="E90" s="552"/>
      <c r="F90" s="552"/>
      <c r="G90" s="552"/>
      <c r="H90" s="832"/>
      <c r="I90" s="475"/>
    </row>
    <row r="91" spans="2:9" ht="15" hidden="1" customHeight="1">
      <c r="B91" s="552"/>
      <c r="C91" s="552"/>
      <c r="D91" s="552"/>
      <c r="E91" s="552"/>
      <c r="F91" s="552"/>
      <c r="G91" s="552"/>
      <c r="H91" s="832"/>
      <c r="I91" s="475"/>
    </row>
    <row r="92" spans="2:9" ht="15" hidden="1" customHeight="1">
      <c r="B92" s="552"/>
      <c r="C92" s="552"/>
      <c r="D92" s="552"/>
      <c r="E92" s="552"/>
      <c r="F92" s="552"/>
      <c r="G92" s="552"/>
      <c r="H92" s="832"/>
      <c r="I92" s="475"/>
    </row>
    <row r="93" spans="2:9" ht="15" hidden="1" customHeight="1">
      <c r="B93" s="552"/>
      <c r="C93" s="552"/>
      <c r="D93" s="552"/>
      <c r="E93" s="552"/>
      <c r="F93" s="552"/>
      <c r="G93" s="552"/>
      <c r="H93" s="832"/>
      <c r="I93" s="475"/>
    </row>
    <row r="94" spans="2:9" ht="15" hidden="1" customHeight="1">
      <c r="B94" s="552"/>
      <c r="C94" s="552"/>
      <c r="D94" s="552"/>
      <c r="E94" s="552"/>
      <c r="F94" s="552"/>
      <c r="G94" s="552"/>
      <c r="H94" s="832"/>
      <c r="I94" s="475"/>
    </row>
    <row r="95" spans="2:9" ht="15" hidden="1" customHeight="1">
      <c r="B95" s="552"/>
      <c r="C95" s="552"/>
      <c r="D95" s="552"/>
      <c r="E95" s="552"/>
      <c r="F95" s="552"/>
      <c r="G95" s="552"/>
      <c r="H95" s="832"/>
      <c r="I95" s="475"/>
    </row>
    <row r="96" spans="2:9" ht="15" hidden="1" customHeight="1">
      <c r="B96" s="552"/>
      <c r="C96" s="552"/>
      <c r="D96" s="552"/>
      <c r="E96" s="552"/>
      <c r="F96" s="552"/>
      <c r="G96" s="552"/>
      <c r="H96" s="832"/>
      <c r="I96" s="475"/>
    </row>
    <row r="97" spans="1:17" ht="15" hidden="1" customHeight="1">
      <c r="B97" s="552"/>
      <c r="C97" s="552"/>
      <c r="D97" s="552"/>
      <c r="E97" s="552"/>
      <c r="F97" s="552"/>
      <c r="G97" s="552"/>
      <c r="H97" s="832"/>
      <c r="I97" s="566"/>
    </row>
    <row r="98" spans="1:17" ht="15" hidden="1" customHeight="1">
      <c r="B98" s="552"/>
      <c r="C98" s="552"/>
      <c r="D98" s="552"/>
      <c r="E98" s="552"/>
      <c r="F98" s="552"/>
      <c r="G98" s="552"/>
      <c r="H98" s="832"/>
      <c r="I98" s="566"/>
    </row>
    <row r="99" spans="1:17" ht="15" hidden="1" customHeight="1">
      <c r="B99" s="552"/>
      <c r="C99" s="552"/>
      <c r="D99" s="552"/>
      <c r="E99" s="552"/>
      <c r="F99" s="552"/>
      <c r="G99" s="552"/>
      <c r="H99" s="832"/>
      <c r="I99" s="566"/>
    </row>
    <row r="100" spans="1:17" ht="15" hidden="1" customHeight="1">
      <c r="B100" s="552"/>
      <c r="C100" s="552"/>
      <c r="D100" s="552"/>
      <c r="E100" s="552"/>
      <c r="F100" s="552"/>
      <c r="G100" s="552"/>
      <c r="H100" s="832"/>
      <c r="I100" s="566"/>
    </row>
    <row r="101" spans="1:17" ht="15" hidden="1" customHeight="1">
      <c r="B101" s="552"/>
      <c r="C101" s="552"/>
      <c r="D101" s="552"/>
      <c r="E101" s="552"/>
      <c r="F101" s="552"/>
      <c r="G101" s="552"/>
      <c r="H101" s="832"/>
      <c r="I101" s="566"/>
    </row>
    <row r="102" spans="1:17" ht="15" hidden="1" customHeight="1">
      <c r="B102" s="552"/>
      <c r="C102" s="552"/>
      <c r="D102" s="552"/>
      <c r="E102" s="552"/>
      <c r="F102" s="552"/>
      <c r="G102" s="552"/>
      <c r="H102" s="832"/>
      <c r="I102" s="566"/>
    </row>
    <row r="103" spans="1:17" ht="15" hidden="1" customHeight="1">
      <c r="B103" s="552"/>
      <c r="C103" s="552"/>
      <c r="D103" s="552"/>
      <c r="E103" s="552"/>
      <c r="F103" s="552"/>
      <c r="G103" s="552"/>
      <c r="H103" s="832"/>
      <c r="I103" s="566"/>
      <c r="Q103"/>
    </row>
    <row r="104" spans="1:17" ht="15" hidden="1" customHeight="1">
      <c r="B104" s="552"/>
      <c r="C104" s="552"/>
      <c r="D104" s="552"/>
      <c r="E104" s="552"/>
      <c r="F104" s="552"/>
      <c r="G104" s="552"/>
      <c r="H104" s="832"/>
      <c r="I104" s="566"/>
      <c r="Q104"/>
    </row>
    <row r="105" spans="1:17" ht="15" hidden="1" customHeight="1">
      <c r="B105" s="552"/>
      <c r="C105" s="552"/>
      <c r="D105" s="552"/>
      <c r="E105" s="552"/>
      <c r="F105" s="552"/>
      <c r="G105" s="552"/>
      <c r="H105" s="832"/>
      <c r="I105" s="566"/>
      <c r="Q105"/>
    </row>
    <row r="106" spans="1:17" customFormat="1">
      <c r="A106" s="655"/>
      <c r="B106" s="656"/>
      <c r="C106" s="656"/>
      <c r="D106" s="656"/>
      <c r="E106" s="656"/>
      <c r="F106" s="570" t="s">
        <v>534</v>
      </c>
      <c r="G106" s="656"/>
      <c r="H106" s="831"/>
    </row>
    <row r="107" spans="1:17" customFormat="1" ht="36" customHeight="1">
      <c r="A107" s="655" t="s">
        <v>860</v>
      </c>
      <c r="B107" s="1366" t="s">
        <v>1062</v>
      </c>
      <c r="C107" s="1366"/>
      <c r="D107" s="1366"/>
      <c r="E107" s="1367"/>
      <c r="F107" s="575">
        <v>0</v>
      </c>
      <c r="G107" s="1356" t="str">
        <f>IF(F107="","RISPOSTA OBBLIGATORIA","")</f>
        <v/>
      </c>
      <c r="H107" s="1357"/>
    </row>
    <row r="108" spans="1:17" customFormat="1">
      <c r="A108" s="655"/>
      <c r="B108" s="656"/>
      <c r="C108" s="656"/>
      <c r="D108" s="656"/>
      <c r="E108" s="656"/>
      <c r="F108" s="656"/>
      <c r="G108" s="656"/>
      <c r="H108" s="831"/>
    </row>
    <row r="109" spans="1:17" customFormat="1">
      <c r="A109" s="655"/>
      <c r="B109" s="656"/>
      <c r="C109" s="656"/>
      <c r="D109" s="656"/>
      <c r="E109" s="656"/>
      <c r="F109" s="570" t="s">
        <v>534</v>
      </c>
      <c r="G109" s="656"/>
      <c r="H109" s="831"/>
    </row>
    <row r="110" spans="1:17" customFormat="1" ht="36" customHeight="1">
      <c r="A110" s="655" t="s">
        <v>861</v>
      </c>
      <c r="B110" s="1366" t="s">
        <v>1063</v>
      </c>
      <c r="C110" s="1366"/>
      <c r="D110" s="1366"/>
      <c r="E110" s="1367"/>
      <c r="F110" s="575">
        <v>0</v>
      </c>
      <c r="G110" s="1356" t="str">
        <f>IF(F110="","RISPOSTA OBBLIGATORIA","")</f>
        <v/>
      </c>
      <c r="H110" s="1357"/>
    </row>
    <row r="111" spans="1:17" customFormat="1">
      <c r="A111" s="655"/>
      <c r="B111" s="656"/>
      <c r="C111" s="656"/>
      <c r="D111" s="656"/>
      <c r="E111" s="656"/>
      <c r="F111" s="656"/>
      <c r="G111" s="656"/>
      <c r="H111" s="831"/>
      <c r="Q111" s="615"/>
    </row>
    <row r="112" spans="1:17" customFormat="1">
      <c r="A112" s="655"/>
      <c r="B112" s="656"/>
      <c r="C112" s="656"/>
      <c r="D112" s="656"/>
      <c r="E112" s="656"/>
      <c r="F112" s="570" t="s">
        <v>534</v>
      </c>
      <c r="G112" s="656"/>
      <c r="H112" s="831"/>
      <c r="Q112" s="615"/>
    </row>
    <row r="113" spans="1:17" customFormat="1" ht="36" customHeight="1">
      <c r="A113" s="655" t="s">
        <v>862</v>
      </c>
      <c r="B113" s="1366" t="s">
        <v>1064</v>
      </c>
      <c r="C113" s="1366"/>
      <c r="D113" s="1366"/>
      <c r="E113" s="1367"/>
      <c r="F113" s="575">
        <v>0</v>
      </c>
      <c r="G113" s="1356" t="str">
        <f>IF(F113="","RISPOSTA OBBLIGATORIA","")</f>
        <v/>
      </c>
      <c r="H113" s="1357"/>
      <c r="Q113" s="615"/>
    </row>
    <row r="114" spans="1:17" ht="15" customHeight="1">
      <c r="B114" s="552"/>
      <c r="C114" s="552"/>
      <c r="D114" s="552"/>
      <c r="E114" s="552"/>
      <c r="F114" s="552"/>
      <c r="G114" s="552"/>
      <c r="H114" s="832"/>
      <c r="I114" s="475"/>
    </row>
    <row r="115" spans="1:17" ht="15" customHeight="1">
      <c r="B115" s="656"/>
      <c r="C115" s="656"/>
      <c r="D115" s="656"/>
      <c r="E115" s="656"/>
      <c r="F115" s="570" t="s">
        <v>313</v>
      </c>
      <c r="G115" s="570" t="s">
        <v>314</v>
      </c>
      <c r="H115" s="831"/>
      <c r="I115" s="619"/>
    </row>
    <row r="116" spans="1:17" ht="43.5" customHeight="1">
      <c r="A116" s="663" t="s">
        <v>898</v>
      </c>
      <c r="B116" s="1364" t="s">
        <v>895</v>
      </c>
      <c r="C116" s="1364"/>
      <c r="D116" s="1364"/>
      <c r="E116" s="1365"/>
      <c r="F116" s="521"/>
      <c r="G116" s="521"/>
      <c r="H116" s="720" t="str">
        <f>IF(I116=0,"RISPOSTA OBBLIGATORIA","")</f>
        <v>RISPOSTA OBBLIGATORIA</v>
      </c>
      <c r="I116" s="618">
        <v>0</v>
      </c>
      <c r="J116" s="615" t="str">
        <f>IF(I116=1,"VERO",IF(I116=2,"FALSO",""))</f>
        <v/>
      </c>
    </row>
    <row r="117" spans="1:17" ht="15" customHeight="1">
      <c r="B117" s="656"/>
      <c r="C117" s="656"/>
      <c r="D117" s="656"/>
      <c r="E117" s="656"/>
      <c r="F117" s="564"/>
      <c r="G117" s="656"/>
      <c r="H117" s="831"/>
      <c r="I117" s="566"/>
    </row>
    <row r="118" spans="1:17" ht="15" customHeight="1">
      <c r="B118" s="656"/>
      <c r="C118" s="656"/>
      <c r="D118" s="656"/>
      <c r="E118" s="656"/>
      <c r="F118" s="570" t="s">
        <v>313</v>
      </c>
      <c r="G118" s="570" t="s">
        <v>314</v>
      </c>
      <c r="H118" s="831"/>
      <c r="I118" s="619"/>
    </row>
    <row r="119" spans="1:17" ht="46.5" customHeight="1">
      <c r="A119" s="663" t="s">
        <v>799</v>
      </c>
      <c r="B119" s="1362" t="s">
        <v>894</v>
      </c>
      <c r="C119" s="1362"/>
      <c r="D119" s="1362"/>
      <c r="E119" s="1363"/>
      <c r="F119" s="664"/>
      <c r="G119" s="664"/>
      <c r="H119" s="720" t="str">
        <f>IF(I119=0,"RISPOSTA OBBLIGATORIA","")</f>
        <v>RISPOSTA OBBLIGATORIA</v>
      </c>
      <c r="I119" s="618">
        <v>0</v>
      </c>
      <c r="J119" s="615" t="str">
        <f>IF(I119=1,"VERO",IF(I119=2,"FALSO",""))</f>
        <v/>
      </c>
    </row>
    <row r="120" spans="1:17" ht="15.6" customHeight="1">
      <c r="A120" s="663"/>
      <c r="B120" s="1016"/>
      <c r="C120" s="1017"/>
      <c r="D120" s="1016"/>
      <c r="E120" s="1013"/>
      <c r="F120" s="656"/>
      <c r="G120" s="656"/>
      <c r="H120" s="720"/>
    </row>
    <row r="121" spans="1:17" ht="15" customHeight="1">
      <c r="B121" s="656"/>
      <c r="C121" s="656"/>
      <c r="D121" s="656"/>
      <c r="E121" s="656"/>
      <c r="F121" s="570"/>
      <c r="G121" s="656"/>
      <c r="H121" s="720"/>
      <c r="I121" s="619"/>
    </row>
    <row r="122" spans="1:17" ht="49.2" customHeight="1">
      <c r="A122" s="663" t="s">
        <v>800</v>
      </c>
      <c r="B122" s="1362" t="s">
        <v>1065</v>
      </c>
      <c r="C122" s="1362"/>
      <c r="D122" s="1362"/>
      <c r="E122" s="1363"/>
      <c r="F122" s="1020" t="s">
        <v>313</v>
      </c>
      <c r="G122" s="656"/>
      <c r="H122" s="720" t="str">
        <f>IF(I122=0,"RISPOSTA OBBLIGATORIA","")</f>
        <v/>
      </c>
      <c r="I122" s="1021">
        <f>IF(F122="si",1,IF(F122="no",2,IF(F122="non tenuto","x",0)))</f>
        <v>1</v>
      </c>
    </row>
    <row r="123" spans="1:17" ht="15" customHeight="1">
      <c r="B123" s="656"/>
      <c r="C123" s="656"/>
      <c r="D123" s="656"/>
      <c r="E123" s="656"/>
      <c r="F123" s="552"/>
      <c r="G123" s="552"/>
      <c r="H123" s="720"/>
      <c r="I123" s="475"/>
    </row>
    <row r="124" spans="1:17" ht="15" customHeight="1">
      <c r="B124" s="656"/>
      <c r="C124" s="656"/>
      <c r="D124" s="656"/>
      <c r="E124" s="656"/>
      <c r="F124" s="570" t="s">
        <v>313</v>
      </c>
      <c r="G124" s="570" t="s">
        <v>314</v>
      </c>
      <c r="H124" s="831"/>
      <c r="I124" s="619"/>
    </row>
    <row r="125" spans="1:17" ht="43.5" customHeight="1">
      <c r="A125" s="663" t="s">
        <v>901</v>
      </c>
      <c r="B125" s="1372" t="s">
        <v>899</v>
      </c>
      <c r="C125" s="1372"/>
      <c r="D125" s="1372"/>
      <c r="E125" s="1373"/>
      <c r="F125" s="521"/>
      <c r="G125" s="521"/>
      <c r="H125" s="720" t="str">
        <f>IF(I125=0,"RISPOSTA OBBLIGATORIA","")</f>
        <v>RISPOSTA OBBLIGATORIA</v>
      </c>
      <c r="I125" s="618">
        <v>0</v>
      </c>
      <c r="J125" s="615" t="str">
        <f>IF(I125=1,"VERO",IF(I125=2,"FALSO",""))</f>
        <v/>
      </c>
    </row>
    <row r="126" spans="1:17" ht="15" customHeight="1">
      <c r="B126" s="656"/>
      <c r="C126" s="656"/>
      <c r="D126" s="656"/>
      <c r="E126" s="656"/>
      <c r="F126" s="564"/>
      <c r="H126" s="831"/>
      <c r="I126" s="566"/>
    </row>
    <row r="127" spans="1:17" ht="15" customHeight="1">
      <c r="B127" s="656"/>
      <c r="C127" s="656"/>
      <c r="D127" s="656"/>
      <c r="E127" s="656"/>
      <c r="F127" s="570" t="s">
        <v>534</v>
      </c>
      <c r="G127" s="656"/>
      <c r="H127" s="831"/>
      <c r="I127"/>
      <c r="J127"/>
      <c r="K127"/>
      <c r="L127"/>
      <c r="M127"/>
    </row>
    <row r="128" spans="1:17" ht="46.5" customHeight="1">
      <c r="A128" s="663" t="s">
        <v>902</v>
      </c>
      <c r="B128" s="1362" t="s">
        <v>900</v>
      </c>
      <c r="C128" s="1362"/>
      <c r="D128" s="1362"/>
      <c r="E128" s="1363"/>
      <c r="F128" s="575">
        <v>0</v>
      </c>
      <c r="G128" s="1356" t="str">
        <f>IF(F128="","RISPOSTA OBBLIGATORIA","")</f>
        <v/>
      </c>
      <c r="H128" s="1357"/>
      <c r="I128"/>
      <c r="J128"/>
      <c r="K128"/>
      <c r="L128"/>
      <c r="M128"/>
    </row>
    <row r="129" spans="2:9" ht="15" hidden="1" customHeight="1">
      <c r="B129" s="552"/>
      <c r="C129" s="552"/>
      <c r="D129" s="552"/>
      <c r="E129" s="552"/>
      <c r="F129" s="552"/>
      <c r="G129" s="552"/>
      <c r="H129" s="832"/>
      <c r="I129" s="566"/>
    </row>
    <row r="130" spans="2:9" ht="15" hidden="1" customHeight="1">
      <c r="B130" s="552"/>
      <c r="C130" s="552"/>
      <c r="D130" s="552"/>
      <c r="E130" s="552"/>
      <c r="F130" s="552"/>
      <c r="G130" s="552"/>
      <c r="H130" s="832"/>
      <c r="I130" s="566"/>
    </row>
    <row r="131" spans="2:9" ht="15" hidden="1" customHeight="1">
      <c r="B131" s="552"/>
      <c r="C131" s="552"/>
      <c r="D131" s="552"/>
      <c r="E131" s="552"/>
      <c r="F131" s="552"/>
      <c r="G131" s="552"/>
      <c r="H131" s="832"/>
      <c r="I131" s="566"/>
    </row>
    <row r="132" spans="2:9" ht="15" hidden="1" customHeight="1">
      <c r="B132" s="552"/>
      <c r="C132" s="552"/>
      <c r="D132" s="552"/>
      <c r="E132" s="552"/>
      <c r="F132" s="552"/>
      <c r="G132" s="552"/>
      <c r="H132" s="832"/>
      <c r="I132" s="475"/>
    </row>
    <row r="133" spans="2:9" ht="15" hidden="1" customHeight="1">
      <c r="B133" s="552"/>
      <c r="C133" s="552"/>
      <c r="D133" s="552"/>
      <c r="E133" s="552"/>
      <c r="F133" s="552"/>
      <c r="G133" s="552"/>
      <c r="H133" s="832"/>
      <c r="I133" s="475"/>
    </row>
    <row r="134" spans="2:9" ht="15" hidden="1" customHeight="1">
      <c r="B134" s="552"/>
      <c r="C134" s="552"/>
      <c r="D134" s="552"/>
      <c r="E134" s="552"/>
      <c r="F134" s="552"/>
      <c r="G134" s="552"/>
      <c r="H134" s="832"/>
      <c r="I134" s="475"/>
    </row>
    <row r="135" spans="2:9" ht="15" hidden="1" customHeight="1">
      <c r="B135" s="552"/>
      <c r="C135" s="552"/>
      <c r="D135" s="552"/>
      <c r="E135" s="552"/>
      <c r="F135" s="552"/>
      <c r="G135" s="552"/>
      <c r="H135" s="832"/>
      <c r="I135" s="475"/>
    </row>
    <row r="136" spans="2:9" ht="15" hidden="1" customHeight="1">
      <c r="B136" s="552"/>
      <c r="C136" s="552"/>
      <c r="D136" s="552"/>
      <c r="E136" s="552"/>
      <c r="F136" s="552"/>
      <c r="G136" s="552"/>
      <c r="H136" s="832"/>
      <c r="I136" s="475"/>
    </row>
    <row r="137" spans="2:9" ht="15" hidden="1" customHeight="1">
      <c r="B137" s="552"/>
      <c r="C137" s="552"/>
      <c r="D137" s="552"/>
      <c r="E137" s="552"/>
      <c r="F137" s="552"/>
      <c r="G137" s="552"/>
      <c r="H137" s="832"/>
      <c r="I137" s="475"/>
    </row>
    <row r="138" spans="2:9" ht="15" hidden="1" customHeight="1">
      <c r="B138" s="552"/>
      <c r="C138" s="552"/>
      <c r="D138" s="552"/>
      <c r="E138" s="552"/>
      <c r="F138" s="552"/>
      <c r="G138" s="552"/>
      <c r="H138" s="832"/>
      <c r="I138" s="475"/>
    </row>
    <row r="139" spans="2:9" ht="15" hidden="1" customHeight="1">
      <c r="B139" s="552"/>
      <c r="C139" s="552"/>
      <c r="D139" s="552"/>
      <c r="E139" s="552"/>
      <c r="F139" s="552"/>
      <c r="G139" s="552"/>
      <c r="H139" s="832"/>
      <c r="I139" s="475"/>
    </row>
    <row r="140" spans="2:9" ht="15" hidden="1" customHeight="1">
      <c r="B140" s="552"/>
      <c r="C140" s="552"/>
      <c r="D140" s="552"/>
      <c r="E140" s="552"/>
      <c r="F140" s="552"/>
      <c r="G140" s="552"/>
      <c r="H140" s="832"/>
      <c r="I140" s="475"/>
    </row>
    <row r="141" spans="2:9" ht="15" hidden="1" customHeight="1">
      <c r="B141" s="552"/>
      <c r="C141" s="552"/>
      <c r="D141" s="552"/>
      <c r="E141" s="552"/>
      <c r="F141" s="552"/>
      <c r="G141" s="552"/>
      <c r="H141" s="832"/>
      <c r="I141" s="475"/>
    </row>
    <row r="142" spans="2:9" ht="15" hidden="1" customHeight="1">
      <c r="B142" s="552"/>
      <c r="C142" s="552"/>
      <c r="D142" s="552"/>
      <c r="E142" s="552"/>
      <c r="F142" s="552"/>
      <c r="G142" s="552"/>
      <c r="H142" s="832"/>
      <c r="I142" s="475"/>
    </row>
    <row r="143" spans="2:9" ht="15" hidden="1" customHeight="1">
      <c r="B143" s="552"/>
      <c r="C143" s="552"/>
      <c r="D143" s="552"/>
      <c r="E143" s="552"/>
      <c r="F143" s="552"/>
      <c r="G143" s="552"/>
      <c r="H143" s="832"/>
      <c r="I143" s="475"/>
    </row>
    <row r="144" spans="2:9" ht="15" hidden="1" customHeight="1">
      <c r="B144" s="552"/>
      <c r="C144" s="552"/>
      <c r="D144" s="552"/>
      <c r="E144" s="552"/>
      <c r="F144" s="552"/>
      <c r="G144" s="552"/>
      <c r="H144" s="832"/>
      <c r="I144" s="475"/>
    </row>
    <row r="145" spans="2:9" ht="15" hidden="1" customHeight="1">
      <c r="B145" s="552"/>
      <c r="C145" s="552"/>
      <c r="D145" s="552"/>
      <c r="E145" s="552"/>
      <c r="F145" s="552"/>
      <c r="G145" s="552"/>
      <c r="H145" s="832"/>
      <c r="I145" s="475"/>
    </row>
    <row r="146" spans="2:9" ht="15" hidden="1" customHeight="1">
      <c r="B146" s="552"/>
      <c r="C146" s="552"/>
      <c r="D146" s="552"/>
      <c r="E146" s="552"/>
      <c r="F146" s="552"/>
      <c r="G146" s="552"/>
      <c r="H146" s="832"/>
      <c r="I146" s="475"/>
    </row>
    <row r="147" spans="2:9" ht="15" hidden="1" customHeight="1">
      <c r="B147" s="552"/>
      <c r="C147" s="552"/>
      <c r="D147" s="552"/>
      <c r="E147" s="552"/>
      <c r="F147" s="552"/>
      <c r="G147" s="552"/>
      <c r="H147" s="832"/>
      <c r="I147" s="475"/>
    </row>
    <row r="148" spans="2:9" ht="15" hidden="1" customHeight="1">
      <c r="B148" s="552"/>
      <c r="C148" s="552"/>
      <c r="D148" s="552"/>
      <c r="E148" s="552"/>
      <c r="F148" s="552"/>
      <c r="G148" s="552"/>
      <c r="H148" s="832"/>
      <c r="I148" s="475"/>
    </row>
    <row r="149" spans="2:9" ht="15" hidden="1" customHeight="1">
      <c r="B149" s="552"/>
      <c r="C149" s="552"/>
      <c r="D149" s="552"/>
      <c r="E149" s="552"/>
      <c r="F149" s="552"/>
      <c r="G149" s="552"/>
      <c r="H149" s="832"/>
      <c r="I149" s="475"/>
    </row>
    <row r="150" spans="2:9" ht="15" hidden="1" customHeight="1">
      <c r="B150" s="552"/>
      <c r="C150" s="552"/>
      <c r="D150" s="552"/>
      <c r="E150" s="552"/>
      <c r="F150" s="552"/>
      <c r="G150" s="552"/>
      <c r="H150" s="832"/>
      <c r="I150" s="475"/>
    </row>
    <row r="151" spans="2:9" ht="15" hidden="1" customHeight="1">
      <c r="B151" s="552"/>
      <c r="C151" s="552"/>
      <c r="D151" s="552"/>
      <c r="E151" s="552"/>
      <c r="F151" s="552"/>
      <c r="G151" s="552"/>
      <c r="H151" s="832"/>
      <c r="I151" s="475"/>
    </row>
    <row r="152" spans="2:9" ht="15" hidden="1" customHeight="1">
      <c r="B152" s="552"/>
      <c r="C152" s="552"/>
      <c r="D152" s="552"/>
      <c r="E152" s="552"/>
      <c r="F152" s="552"/>
      <c r="G152" s="552"/>
      <c r="H152" s="832"/>
      <c r="I152" s="475"/>
    </row>
    <row r="153" spans="2:9" ht="15" hidden="1" customHeight="1">
      <c r="B153" s="552"/>
      <c r="C153" s="552"/>
      <c r="D153" s="552"/>
      <c r="E153" s="552"/>
      <c r="F153" s="552"/>
      <c r="G153" s="552"/>
      <c r="H153" s="832"/>
      <c r="I153" s="475"/>
    </row>
    <row r="154" spans="2:9" ht="15" hidden="1" customHeight="1">
      <c r="B154" s="552"/>
      <c r="C154" s="552"/>
      <c r="D154" s="552"/>
      <c r="E154" s="552"/>
      <c r="F154" s="552"/>
      <c r="G154" s="552"/>
      <c r="H154" s="832"/>
      <c r="I154" s="475"/>
    </row>
    <row r="155" spans="2:9" ht="15" hidden="1" customHeight="1">
      <c r="B155" s="552"/>
      <c r="C155" s="552"/>
      <c r="D155" s="552"/>
      <c r="E155" s="552"/>
      <c r="F155" s="552"/>
      <c r="G155" s="552"/>
      <c r="H155" s="832"/>
      <c r="I155" s="475"/>
    </row>
    <row r="156" spans="2:9" ht="15" hidden="1" customHeight="1">
      <c r="B156" s="552"/>
      <c r="C156" s="552"/>
      <c r="D156" s="552"/>
      <c r="E156" s="552"/>
      <c r="F156" s="552"/>
      <c r="G156" s="552"/>
      <c r="H156" s="832"/>
      <c r="I156" s="475"/>
    </row>
    <row r="157" spans="2:9" ht="15" hidden="1" customHeight="1">
      <c r="B157" s="552"/>
      <c r="C157" s="552"/>
      <c r="D157" s="552"/>
      <c r="E157" s="552"/>
      <c r="F157" s="552"/>
      <c r="G157" s="552"/>
      <c r="H157" s="832"/>
      <c r="I157" s="475"/>
    </row>
    <row r="158" spans="2:9" ht="15" hidden="1" customHeight="1">
      <c r="B158" s="552"/>
      <c r="C158" s="552"/>
      <c r="D158" s="552"/>
      <c r="E158" s="552"/>
      <c r="F158" s="552"/>
      <c r="G158" s="552"/>
      <c r="H158" s="832"/>
      <c r="I158" s="475"/>
    </row>
    <row r="159" spans="2:9" ht="15" hidden="1" customHeight="1">
      <c r="B159" s="552"/>
      <c r="C159" s="552"/>
      <c r="D159" s="552"/>
      <c r="E159" s="552"/>
      <c r="F159" s="552"/>
      <c r="G159" s="552"/>
      <c r="H159" s="832"/>
      <c r="I159" s="475"/>
    </row>
    <row r="160" spans="2:9" ht="15" hidden="1" customHeight="1">
      <c r="B160" s="552"/>
      <c r="C160" s="552"/>
      <c r="D160" s="552"/>
      <c r="E160" s="552"/>
      <c r="F160" s="552"/>
      <c r="G160" s="552"/>
      <c r="H160" s="832"/>
      <c r="I160" s="475"/>
    </row>
    <row r="161" spans="2:17" ht="15" hidden="1" customHeight="1">
      <c r="B161" s="552"/>
      <c r="C161" s="552"/>
      <c r="D161" s="552"/>
      <c r="E161" s="552"/>
      <c r="F161" s="552"/>
      <c r="G161" s="552"/>
      <c r="H161" s="832"/>
      <c r="I161" s="475"/>
    </row>
    <row r="162" spans="2:17" ht="15" hidden="1" customHeight="1">
      <c r="B162" s="552"/>
      <c r="C162" s="552"/>
      <c r="D162" s="552"/>
      <c r="E162" s="552"/>
      <c r="F162" s="552"/>
      <c r="G162" s="552"/>
      <c r="H162" s="832"/>
      <c r="I162" s="475"/>
    </row>
    <row r="163" spans="2:17" ht="15" hidden="1" customHeight="1">
      <c r="B163" s="552"/>
      <c r="C163" s="552"/>
      <c r="D163" s="552"/>
      <c r="E163" s="552"/>
      <c r="F163" s="552"/>
      <c r="G163" s="552"/>
      <c r="H163" s="832"/>
      <c r="I163" s="475"/>
    </row>
    <row r="164" spans="2:17" ht="15" hidden="1" customHeight="1">
      <c r="B164" s="552"/>
      <c r="C164" s="552"/>
      <c r="D164" s="552"/>
      <c r="E164" s="552"/>
      <c r="F164" s="552"/>
      <c r="G164" s="552"/>
      <c r="H164" s="832"/>
      <c r="I164" s="475"/>
    </row>
    <row r="165" spans="2:17" ht="15" hidden="1" customHeight="1">
      <c r="B165" s="552"/>
      <c r="C165" s="552"/>
      <c r="D165" s="552"/>
      <c r="E165" s="552"/>
      <c r="F165" s="552"/>
      <c r="G165" s="552"/>
      <c r="H165" s="832"/>
      <c r="I165" s="475"/>
    </row>
    <row r="166" spans="2:17" ht="15" hidden="1" customHeight="1">
      <c r="B166" s="552"/>
      <c r="C166" s="552"/>
      <c r="D166" s="552"/>
      <c r="E166" s="552"/>
      <c r="F166" s="552"/>
      <c r="G166" s="552"/>
      <c r="H166" s="832"/>
      <c r="I166" s="475"/>
    </row>
    <row r="167" spans="2:17" ht="15" hidden="1" customHeight="1">
      <c r="B167" s="552"/>
      <c r="C167" s="552"/>
      <c r="D167" s="552"/>
      <c r="E167" s="552"/>
      <c r="F167" s="552"/>
      <c r="G167" s="552"/>
      <c r="H167" s="832"/>
      <c r="I167" s="475"/>
    </row>
    <row r="168" spans="2:17" ht="15" hidden="1" customHeight="1">
      <c r="B168" s="552"/>
      <c r="C168" s="552"/>
      <c r="D168" s="552"/>
      <c r="E168" s="552"/>
      <c r="F168" s="552"/>
      <c r="G168" s="552"/>
      <c r="H168" s="832"/>
      <c r="I168" s="475"/>
    </row>
    <row r="169" spans="2:17" ht="15" hidden="1" customHeight="1">
      <c r="B169" s="552"/>
      <c r="C169" s="552"/>
      <c r="D169" s="552"/>
      <c r="E169" s="552"/>
      <c r="F169" s="552"/>
      <c r="G169" s="552"/>
      <c r="H169" s="832"/>
      <c r="I169" s="475"/>
    </row>
    <row r="170" spans="2:17" ht="15" hidden="1" customHeight="1">
      <c r="B170" s="552"/>
      <c r="C170" s="552"/>
      <c r="D170" s="552"/>
      <c r="E170" s="552"/>
      <c r="F170" s="552"/>
      <c r="G170" s="552"/>
      <c r="H170" s="832"/>
      <c r="I170" s="475"/>
    </row>
    <row r="171" spans="2:17" ht="15" hidden="1" customHeight="1">
      <c r="B171" s="552"/>
      <c r="C171" s="552"/>
      <c r="D171" s="552"/>
      <c r="E171" s="552"/>
      <c r="F171" s="552"/>
      <c r="G171" s="552"/>
      <c r="H171" s="832"/>
      <c r="I171" s="475"/>
    </row>
    <row r="172" spans="2:17" ht="15" hidden="1" customHeight="1">
      <c r="B172" s="552"/>
      <c r="C172" s="552"/>
      <c r="D172" s="552"/>
      <c r="E172" s="552"/>
      <c r="F172" s="552"/>
      <c r="G172" s="552"/>
      <c r="H172" s="832"/>
      <c r="I172" s="475"/>
    </row>
    <row r="173" spans="2:17" ht="15" hidden="1" customHeight="1">
      <c r="B173" s="552"/>
      <c r="C173" s="552"/>
      <c r="D173" s="552"/>
      <c r="E173" s="552"/>
      <c r="F173" s="552"/>
      <c r="G173" s="552"/>
      <c r="H173" s="832"/>
      <c r="I173" s="475"/>
    </row>
    <row r="174" spans="2:17" ht="15" hidden="1" customHeight="1">
      <c r="B174" s="552"/>
      <c r="C174" s="552"/>
      <c r="D174" s="552"/>
      <c r="E174" s="552"/>
      <c r="F174" s="552"/>
      <c r="G174" s="552"/>
      <c r="H174" s="832"/>
      <c r="I174" s="475"/>
      <c r="Q174" s="616"/>
    </row>
    <row r="175" spans="2:17" ht="15" hidden="1" customHeight="1">
      <c r="B175" s="552"/>
      <c r="C175" s="552"/>
      <c r="D175" s="552"/>
      <c r="E175" s="552"/>
      <c r="F175" s="552"/>
      <c r="G175" s="552"/>
      <c r="H175" s="832"/>
      <c r="I175" s="475"/>
    </row>
    <row r="176" spans="2:17" ht="15" hidden="1" customHeight="1">
      <c r="B176" s="552"/>
      <c r="C176" s="552"/>
      <c r="D176" s="552"/>
      <c r="E176" s="552"/>
      <c r="F176" s="552"/>
      <c r="G176" s="552"/>
      <c r="H176" s="832"/>
      <c r="I176" s="475"/>
    </row>
    <row r="177" spans="1:17" s="616" customFormat="1" ht="15" hidden="1" customHeight="1">
      <c r="A177" s="655"/>
      <c r="B177" s="552"/>
      <c r="C177" s="552"/>
      <c r="D177" s="552"/>
      <c r="E177" s="552"/>
      <c r="F177" s="552"/>
      <c r="G177" s="552"/>
      <c r="H177" s="832"/>
      <c r="I177" s="584"/>
      <c r="J177" s="615"/>
      <c r="Q177" s="615"/>
    </row>
    <row r="178" spans="1:17" ht="15" hidden="1" customHeight="1">
      <c r="B178" s="552"/>
      <c r="C178" s="552"/>
      <c r="D178" s="552"/>
      <c r="E178" s="552"/>
      <c r="F178" s="552"/>
      <c r="G178" s="552"/>
      <c r="H178" s="832"/>
      <c r="I178" s="475"/>
    </row>
    <row r="179" spans="1:17" ht="15" hidden="1" customHeight="1">
      <c r="B179" s="552"/>
      <c r="C179" s="552"/>
      <c r="D179" s="552"/>
      <c r="E179" s="552"/>
      <c r="F179" s="552"/>
      <c r="G179" s="552"/>
      <c r="H179" s="832"/>
      <c r="I179" s="475"/>
    </row>
    <row r="180" spans="1:17" ht="15" customHeight="1">
      <c r="A180" s="660"/>
      <c r="B180" s="661"/>
      <c r="C180" s="661"/>
      <c r="D180" s="661"/>
      <c r="E180" s="661"/>
      <c r="F180" s="661"/>
      <c r="G180" s="661"/>
      <c r="H180" s="838"/>
      <c r="I180" s="615">
        <f>SUM(I14,I18,I20,I22,I25,I26,I32,I34,SUM(F37,F42,F44),SUM(I47,I116,I119,I122,I125,I128),SUM(F55,F58,F61),SUM(I64,F67,F70),SUM(I64,F67,F70),SUM(F107,F110,F113))</f>
        <v>27.78</v>
      </c>
    </row>
    <row r="181" spans="1:17" ht="15" hidden="1" customHeight="1">
      <c r="I181" s="721" t="str">
        <f>IF(OR(COUNTIF(J181:N181,"KO")&gt;0,F42="",F44="",F55="",F58="",F61=""),"KO","OK")</f>
        <v>KO</v>
      </c>
      <c r="J181" s="615" t="str">
        <f>IF(OR(I14=0,I18=0,I20=0,I22=0,I25=0,I26=0,I32=0,I34=0,F37=0,I47=0,I64=0),"KO","OK")</f>
        <v>KO</v>
      </c>
      <c r="K181" s="615" t="str">
        <f>IF(AND(I25=1,I26=0),"KO","OK")</f>
        <v>OK</v>
      </c>
      <c r="L181" s="615" t="str">
        <f>IF(I47=1,(IF(OR(I116=0,I119=0),"KO","OK")),"OK")</f>
        <v>OK</v>
      </c>
      <c r="M181" s="615" t="str">
        <f>IF(AND(I47=2,I122=0),"KO","OK")</f>
        <v>OK</v>
      </c>
      <c r="N181" s="615" t="str">
        <f>IF(I64=1,(IF(OR(F67&gt;0,F70&gt;0),"OK","KO")),"OK")</f>
        <v>OK</v>
      </c>
    </row>
    <row r="185" spans="1:17">
      <c r="D185" s="864"/>
    </row>
  </sheetData>
  <sheetProtection password="EA98" sheet="1" formatColumns="0" selectLockedCells="1"/>
  <mergeCells count="42">
    <mergeCell ref="B64:E64"/>
    <mergeCell ref="B52:E52"/>
    <mergeCell ref="C25:E25"/>
    <mergeCell ref="C26:E26"/>
    <mergeCell ref="B40:E40"/>
    <mergeCell ref="B125:E125"/>
    <mergeCell ref="B37:E37"/>
    <mergeCell ref="C67:E67"/>
    <mergeCell ref="B128:E128"/>
    <mergeCell ref="C70:E70"/>
    <mergeCell ref="G70:H70"/>
    <mergeCell ref="B55:E55"/>
    <mergeCell ref="G55:H55"/>
    <mergeCell ref="B58:E58"/>
    <mergeCell ref="G58:H58"/>
    <mergeCell ref="B113:E113"/>
    <mergeCell ref="G113:H113"/>
    <mergeCell ref="B61:E61"/>
    <mergeCell ref="G61:H61"/>
    <mergeCell ref="G42:H42"/>
    <mergeCell ref="B44:E44"/>
    <mergeCell ref="G44:H44"/>
    <mergeCell ref="B42:E42"/>
    <mergeCell ref="G37:H37"/>
    <mergeCell ref="B47:E47"/>
    <mergeCell ref="C49:E49"/>
    <mergeCell ref="B14:E14"/>
    <mergeCell ref="B18:E18"/>
    <mergeCell ref="B20:E20"/>
    <mergeCell ref="B22:E22"/>
    <mergeCell ref="B32:E32"/>
    <mergeCell ref="B34:E34"/>
    <mergeCell ref="G128:H128"/>
    <mergeCell ref="G67:H67"/>
    <mergeCell ref="D27:E27"/>
    <mergeCell ref="B122:E122"/>
    <mergeCell ref="B119:E119"/>
    <mergeCell ref="B116:E116"/>
    <mergeCell ref="B107:E107"/>
    <mergeCell ref="G107:H107"/>
    <mergeCell ref="B110:E110"/>
    <mergeCell ref="G110:H110"/>
  </mergeCells>
  <dataValidations count="4">
    <dataValidation type="whole" allowBlank="1" showInputMessage="1" showErrorMessage="1" errorTitle="ATTENZIONE" error="INSERIRE UN VALORE NUMERICO INTERO" sqref="F6 F8">
      <formula1>0</formula1>
      <formula2>100</formula2>
    </dataValidation>
    <dataValidation type="decimal" allowBlank="1" showInputMessage="1" showErrorMessage="1" errorTitle="ATTENZIONE" error="INSERIRE SOLO VALORI NUMERICI CON DUE DECIMALI" sqref="F37">
      <formula1>0.01</formula1>
      <formula2>100</formula2>
    </dataValidation>
    <dataValidation type="whole" allowBlank="1" showInputMessage="1" showErrorMessage="1" errorTitle="ATTENZIONE" error="INSERIRE SOLO VALORI NUMERICI INTERI" sqref="F55 F67:F68 F64:F65 F61:F62 F44 F58 F42 F70 F107 F113 F110 F128 F47:F50 F52:F53 F40">
      <formula1>0</formula1>
      <formula2>999999999999</formula2>
    </dataValidation>
    <dataValidation type="list" allowBlank="1" showInputMessage="1" showErrorMessage="1" sqref="F122">
      <formula1>"_, SI, No, Non Tenuto"</formula1>
    </dataValidation>
  </dataValidations>
  <printOptions horizontalCentered="1"/>
  <pageMargins left="0.23622047244094491" right="0.23622047244094491" top="0.59055118110236227" bottom="0.98425196850393704" header="0.51181102362204722" footer="0.51181102362204722"/>
  <pageSetup paperSize="9" scale="57" orientation="portrait" r:id="rId1"/>
  <headerFooter alignWithMargins="0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24" enableFormatConditionsCalculation="0">
    <tabColor indexed="10"/>
    <pageSetUpPr fitToPage="1"/>
  </sheetPr>
  <dimension ref="A1:AB52"/>
  <sheetViews>
    <sheetView showGridLines="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B5" sqref="B5"/>
    </sheetView>
  </sheetViews>
  <sheetFormatPr defaultColWidth="9.28515625" defaultRowHeight="10.199999999999999"/>
  <cols>
    <col min="1" max="1" width="37.28515625" style="5" customWidth="1"/>
    <col min="2" max="2" width="11" style="7" customWidth="1"/>
    <col min="3" max="3" width="10.85546875" style="7" customWidth="1"/>
    <col min="4" max="5" width="12.85546875" style="7" customWidth="1"/>
    <col min="6" max="6" width="13.7109375" style="7" customWidth="1"/>
    <col min="7" max="11" width="12.85546875" style="7" customWidth="1"/>
    <col min="12" max="14" width="13.28515625" style="7" customWidth="1"/>
    <col min="15" max="15" width="10" style="7" bestFit="1" customWidth="1"/>
    <col min="16" max="16" width="10.85546875" style="7" customWidth="1"/>
    <col min="17" max="24" width="12.85546875" style="7" customWidth="1"/>
    <col min="25" max="26" width="13.28515625" style="7" customWidth="1"/>
    <col min="27" max="27" width="13.42578125" style="7" bestFit="1" customWidth="1"/>
    <col min="28" max="28" width="12.7109375" style="7" bestFit="1" customWidth="1"/>
    <col min="29" max="16384" width="9.28515625" style="5"/>
  </cols>
  <sheetData>
    <row r="1" spans="1:28" ht="30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1442"/>
      <c r="L1" s="1442"/>
      <c r="M1" s="1442"/>
      <c r="N1" s="1442"/>
      <c r="O1" s="1442"/>
      <c r="P1" s="1442"/>
      <c r="Q1" s="1442"/>
      <c r="R1" s="1442"/>
      <c r="S1" s="1442"/>
      <c r="T1" s="1442"/>
      <c r="U1" s="1442"/>
      <c r="V1" s="1442"/>
      <c r="W1" s="1442"/>
      <c r="X1" s="1442"/>
      <c r="Y1" s="1442"/>
      <c r="Z1" s="5"/>
      <c r="AA1" s="5"/>
      <c r="AB1" s="311"/>
    </row>
    <row r="2" spans="1:28" ht="36" customHeight="1">
      <c r="A2" s="1531" t="s">
        <v>823</v>
      </c>
      <c r="B2" s="1531"/>
      <c r="C2" s="1531"/>
      <c r="D2" s="1531"/>
      <c r="E2" s="1531"/>
      <c r="F2" s="1531"/>
      <c r="G2" s="1531"/>
      <c r="H2" s="1531"/>
      <c r="I2" s="1531"/>
      <c r="J2" s="1531"/>
      <c r="K2" s="1531"/>
      <c r="L2" s="1531"/>
      <c r="M2" s="1531"/>
      <c r="N2" s="85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</row>
    <row r="3" spans="1:28" ht="18.75" customHeight="1">
      <c r="A3" s="196" t="str">
        <f>"Tavola di coerenza tra presenti al 31.12."&amp;'t1'!M1&amp;" rilevati in Tabella 1 con il personale rilevato in Tabella 3 e con i presenti rilevati in Tabella 10 (Squadratura 3)(*)"</f>
        <v>Tavola di coerenza tra presenti al 31.12.2017 rilevati in Tabella 1 con il personale rilevato in Tabella 3 e con i presenti rilevati in Tabella 10 (Squadratura 3)(*)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1.4">
      <c r="A4" s="316" t="s">
        <v>263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3.2">
      <c r="A5" s="179"/>
      <c r="B5" s="176"/>
      <c r="C5" s="1528" t="s">
        <v>293</v>
      </c>
      <c r="D5" s="1529"/>
      <c r="E5" s="1529"/>
      <c r="F5" s="1529"/>
      <c r="G5" s="1529"/>
      <c r="H5" s="1529"/>
      <c r="I5" s="1529"/>
      <c r="J5" s="1529"/>
      <c r="K5" s="1529"/>
      <c r="L5" s="1529"/>
      <c r="M5" s="1529"/>
      <c r="N5" s="1529"/>
      <c r="O5" s="1530"/>
      <c r="P5" s="1528" t="s">
        <v>294</v>
      </c>
      <c r="Q5" s="1529"/>
      <c r="R5" s="1529"/>
      <c r="S5" s="1529"/>
      <c r="T5" s="1529"/>
      <c r="U5" s="1529"/>
      <c r="V5" s="1529"/>
      <c r="W5" s="1529"/>
      <c r="X5" s="1529"/>
      <c r="Y5" s="1529"/>
      <c r="Z5" s="1529"/>
      <c r="AA5" s="1529"/>
      <c r="AB5" s="1530"/>
    </row>
    <row r="6" spans="1:28" s="195" customFormat="1" ht="64.5" customHeight="1">
      <c r="A6" s="183" t="s">
        <v>233</v>
      </c>
      <c r="B6" s="183" t="s">
        <v>232</v>
      </c>
      <c r="C6" s="183" t="str">
        <f>"Presenti 31.12."&amp;'t1'!M1&amp;" (Tab 1)"</f>
        <v>Presenti 31.12.2017 (Tab 1)</v>
      </c>
      <c r="D6" s="183" t="s">
        <v>246</v>
      </c>
      <c r="E6" s="183" t="s">
        <v>245</v>
      </c>
      <c r="F6" s="183" t="s">
        <v>448</v>
      </c>
      <c r="G6" s="183" t="s">
        <v>262</v>
      </c>
      <c r="H6" s="183" t="s">
        <v>247</v>
      </c>
      <c r="I6" s="183" t="s">
        <v>449</v>
      </c>
      <c r="J6" s="644" t="s">
        <v>1046</v>
      </c>
      <c r="K6" s="644" t="s">
        <v>1045</v>
      </c>
      <c r="L6" s="183" t="s">
        <v>264</v>
      </c>
      <c r="M6" s="183" t="s">
        <v>265</v>
      </c>
      <c r="N6" s="644" t="s">
        <v>818</v>
      </c>
      <c r="O6" s="644" t="s">
        <v>819</v>
      </c>
      <c r="P6" s="183" t="str">
        <f>"Presenti 31.12."&amp;'t1'!M1&amp;" (Tab 1)"</f>
        <v>Presenti 31.12.2017 (Tab 1)</v>
      </c>
      <c r="Q6" s="183" t="s">
        <v>246</v>
      </c>
      <c r="R6" s="183" t="s">
        <v>245</v>
      </c>
      <c r="S6" s="183" t="s">
        <v>448</v>
      </c>
      <c r="T6" s="183" t="s">
        <v>262</v>
      </c>
      <c r="U6" s="183" t="s">
        <v>247</v>
      </c>
      <c r="V6" s="183" t="s">
        <v>449</v>
      </c>
      <c r="W6" s="644" t="s">
        <v>1046</v>
      </c>
      <c r="X6" s="644" t="s">
        <v>1045</v>
      </c>
      <c r="Y6" s="183" t="s">
        <v>264</v>
      </c>
      <c r="Z6" s="183" t="s">
        <v>265</v>
      </c>
      <c r="AA6" s="644" t="s">
        <v>818</v>
      </c>
      <c r="AB6" s="644" t="s">
        <v>819</v>
      </c>
    </row>
    <row r="7" spans="1:28" s="193" customFormat="1" ht="20.399999999999999">
      <c r="A7" s="192"/>
      <c r="B7" s="192"/>
      <c r="C7" s="189" t="s">
        <v>234</v>
      </c>
      <c r="D7" s="189" t="s">
        <v>235</v>
      </c>
      <c r="E7" s="189" t="s">
        <v>236</v>
      </c>
      <c r="F7" s="189" t="s">
        <v>237</v>
      </c>
      <c r="G7" s="190" t="s">
        <v>238</v>
      </c>
      <c r="H7" s="190" t="s">
        <v>258</v>
      </c>
      <c r="I7" s="190" t="s">
        <v>240</v>
      </c>
      <c r="J7" s="190" t="s">
        <v>248</v>
      </c>
      <c r="K7" s="190" t="s">
        <v>249</v>
      </c>
      <c r="L7" s="190" t="s">
        <v>20</v>
      </c>
      <c r="M7" s="190" t="s">
        <v>21</v>
      </c>
      <c r="N7" s="190" t="s">
        <v>820</v>
      </c>
      <c r="O7" s="190" t="s">
        <v>22</v>
      </c>
      <c r="P7" s="189" t="s">
        <v>250</v>
      </c>
      <c r="Q7" s="189" t="s">
        <v>251</v>
      </c>
      <c r="R7" s="189" t="s">
        <v>252</v>
      </c>
      <c r="S7" s="189" t="s">
        <v>450</v>
      </c>
      <c r="T7" s="190" t="s">
        <v>253</v>
      </c>
      <c r="U7" s="190" t="s">
        <v>451</v>
      </c>
      <c r="V7" s="190" t="s">
        <v>452</v>
      </c>
      <c r="W7" s="190" t="s">
        <v>23</v>
      </c>
      <c r="X7" s="190" t="s">
        <v>453</v>
      </c>
      <c r="Y7" s="190" t="s">
        <v>24</v>
      </c>
      <c r="Z7" s="190" t="s">
        <v>25</v>
      </c>
      <c r="AA7" s="190" t="s">
        <v>821</v>
      </c>
      <c r="AB7" s="190" t="s">
        <v>26</v>
      </c>
    </row>
    <row r="8" spans="1:28" ht="14.1" customHeight="1">
      <c r="A8" s="139" t="str">
        <f>'t1'!A6</f>
        <v>SEGRETARIO A</v>
      </c>
      <c r="B8" s="186" t="str">
        <f>'t1'!B6</f>
        <v>0D0102</v>
      </c>
      <c r="C8" s="334">
        <f>'t1'!L6</f>
        <v>0</v>
      </c>
      <c r="D8" s="334">
        <f>'t3'!M6</f>
        <v>0</v>
      </c>
      <c r="E8" s="335">
        <f>'t3'!O6</f>
        <v>0</v>
      </c>
      <c r="F8" s="335">
        <f>'t3'!Q6</f>
        <v>0</v>
      </c>
      <c r="G8" s="335">
        <f>'t3'!C6</f>
        <v>0</v>
      </c>
      <c r="H8" s="335">
        <f>'t3'!E6</f>
        <v>0</v>
      </c>
      <c r="I8" s="335">
        <f>'t3'!G6</f>
        <v>0</v>
      </c>
      <c r="J8" s="335">
        <f>'t3'!I6</f>
        <v>0</v>
      </c>
      <c r="K8" s="335">
        <f>'t3'!K6</f>
        <v>0</v>
      </c>
      <c r="L8" s="335">
        <f>C8+D8+E8+F8-G8-H8-I8-J8-K8</f>
        <v>0</v>
      </c>
      <c r="M8" s="335">
        <f>'t10'!AU6</f>
        <v>0</v>
      </c>
      <c r="N8" s="335" t="str">
        <f>IF(C8&lt;(G8+H8+I8+J8+K8),"ERRORE","OK")</f>
        <v>OK</v>
      </c>
      <c r="O8" s="103" t="str">
        <f>IF(L8=M8,"OK","ERRORE")</f>
        <v>OK</v>
      </c>
      <c r="P8" s="334">
        <f>'t1'!M6</f>
        <v>0</v>
      </c>
      <c r="Q8" s="334">
        <f>'t3'!N6</f>
        <v>0</v>
      </c>
      <c r="R8" s="335">
        <f>'t3'!P6</f>
        <v>0</v>
      </c>
      <c r="S8" s="335">
        <f>'t3'!R6</f>
        <v>0</v>
      </c>
      <c r="T8" s="335">
        <f>'t3'!D6</f>
        <v>0</v>
      </c>
      <c r="U8" s="335">
        <f>'t3'!F6</f>
        <v>0</v>
      </c>
      <c r="V8" s="335">
        <f>'t3'!H6</f>
        <v>0</v>
      </c>
      <c r="W8" s="335">
        <f>'t3'!J6</f>
        <v>0</v>
      </c>
      <c r="X8" s="335">
        <f>'t3'!L6</f>
        <v>0</v>
      </c>
      <c r="Y8" s="335">
        <f t="shared" ref="Y8:Y49" si="0">P8+Q8+R8+S8-T8-U8-V8-W8-X8</f>
        <v>0</v>
      </c>
      <c r="Z8" s="335">
        <f>'t10'!AV6</f>
        <v>0</v>
      </c>
      <c r="AA8" s="335" t="str">
        <f>IF(P8&lt;(T8+U8+V8+W8+X8),"ERRORE","OK")</f>
        <v>OK</v>
      </c>
      <c r="AB8" s="191" t="str">
        <f>IF(Y8=Z8,"OK","ERRORE")</f>
        <v>OK</v>
      </c>
    </row>
    <row r="9" spans="1:28" ht="14.1" customHeight="1">
      <c r="A9" s="139" t="str">
        <f>'t1'!A7</f>
        <v>SEGRETARIO B</v>
      </c>
      <c r="B9" s="186" t="str">
        <f>'t1'!B7</f>
        <v>0D0103</v>
      </c>
      <c r="C9" s="334">
        <f>'t1'!L7</f>
        <v>0</v>
      </c>
      <c r="D9" s="334">
        <f>'t3'!M7</f>
        <v>0</v>
      </c>
      <c r="E9" s="335">
        <f>'t3'!O7</f>
        <v>0</v>
      </c>
      <c r="F9" s="335">
        <f>'t3'!Q7</f>
        <v>0</v>
      </c>
      <c r="G9" s="335">
        <f>'t3'!C7</f>
        <v>0</v>
      </c>
      <c r="H9" s="335">
        <f>'t3'!E7</f>
        <v>0</v>
      </c>
      <c r="I9" s="335">
        <f>'t3'!G7</f>
        <v>0</v>
      </c>
      <c r="J9" s="335">
        <f>'t3'!I7</f>
        <v>0</v>
      </c>
      <c r="K9" s="335">
        <f>'t3'!K7</f>
        <v>0</v>
      </c>
      <c r="L9" s="335">
        <f t="shared" ref="L9:L51" si="1">C9+D9+E9+F9-G9-H9-I9-J9-K9</f>
        <v>0</v>
      </c>
      <c r="M9" s="335">
        <f>'t10'!AU7</f>
        <v>0</v>
      </c>
      <c r="N9" s="335" t="str">
        <f t="shared" ref="N9:N52" si="2">IF(C9&lt;(G9+H9+I9+J9+K9),"ERRORE","OK")</f>
        <v>OK</v>
      </c>
      <c r="O9" s="103" t="str">
        <f t="shared" ref="O9:O52" si="3">IF(L9=M9,"OK","ERRORE")</f>
        <v>OK</v>
      </c>
      <c r="P9" s="334">
        <f>'t1'!M7</f>
        <v>0</v>
      </c>
      <c r="Q9" s="334">
        <f>'t3'!N7</f>
        <v>0</v>
      </c>
      <c r="R9" s="335">
        <f>'t3'!P7</f>
        <v>0</v>
      </c>
      <c r="S9" s="335">
        <f>'t3'!R7</f>
        <v>0</v>
      </c>
      <c r="T9" s="335">
        <f>'t3'!D7</f>
        <v>0</v>
      </c>
      <c r="U9" s="335">
        <f>'t3'!F7</f>
        <v>0</v>
      </c>
      <c r="V9" s="335">
        <f>'t3'!H7</f>
        <v>0</v>
      </c>
      <c r="W9" s="335">
        <f>'t3'!J7</f>
        <v>0</v>
      </c>
      <c r="X9" s="335">
        <f>'t3'!L7</f>
        <v>0</v>
      </c>
      <c r="Y9" s="335">
        <f t="shared" si="0"/>
        <v>0</v>
      </c>
      <c r="Z9" s="335">
        <f>'t10'!AV7</f>
        <v>0</v>
      </c>
      <c r="AA9" s="335" t="str">
        <f t="shared" ref="AA9:AA52" si="4">IF(P9&lt;(T9+U9+V9+W9+X9),"ERRORE","OK")</f>
        <v>OK</v>
      </c>
      <c r="AB9" s="191" t="str">
        <f t="shared" ref="AB9:AB52" si="5">IF(Y9=Z9,"OK","ERRORE")</f>
        <v>OK</v>
      </c>
    </row>
    <row r="10" spans="1:28" ht="14.1" customHeight="1">
      <c r="A10" s="139" t="str">
        <f>'t1'!A8</f>
        <v>SEGRETARIO C</v>
      </c>
      <c r="B10" s="186" t="str">
        <f>'t1'!B8</f>
        <v>0D0485</v>
      </c>
      <c r="C10" s="334">
        <f>'t1'!L8</f>
        <v>0</v>
      </c>
      <c r="D10" s="334">
        <f>'t3'!M8</f>
        <v>0</v>
      </c>
      <c r="E10" s="335">
        <f>'t3'!O8</f>
        <v>0</v>
      </c>
      <c r="F10" s="335">
        <f>'t3'!Q8</f>
        <v>0</v>
      </c>
      <c r="G10" s="335">
        <f>'t3'!C8</f>
        <v>0</v>
      </c>
      <c r="H10" s="335">
        <f>'t3'!E8</f>
        <v>0</v>
      </c>
      <c r="I10" s="335">
        <f>'t3'!G8</f>
        <v>0</v>
      </c>
      <c r="J10" s="335">
        <f>'t3'!I8</f>
        <v>0</v>
      </c>
      <c r="K10" s="335">
        <f>'t3'!K8</f>
        <v>0</v>
      </c>
      <c r="L10" s="335">
        <f t="shared" si="1"/>
        <v>0</v>
      </c>
      <c r="M10" s="335">
        <f>'t10'!AU8</f>
        <v>0</v>
      </c>
      <c r="N10" s="335" t="str">
        <f t="shared" si="2"/>
        <v>OK</v>
      </c>
      <c r="O10" s="103" t="str">
        <f t="shared" si="3"/>
        <v>OK</v>
      </c>
      <c r="P10" s="334">
        <f>'t1'!M8</f>
        <v>0</v>
      </c>
      <c r="Q10" s="334">
        <f>'t3'!N8</f>
        <v>0</v>
      </c>
      <c r="R10" s="335">
        <f>'t3'!P8</f>
        <v>0</v>
      </c>
      <c r="S10" s="335">
        <f>'t3'!R8</f>
        <v>0</v>
      </c>
      <c r="T10" s="335">
        <f>'t3'!D8</f>
        <v>0</v>
      </c>
      <c r="U10" s="335">
        <f>'t3'!F8</f>
        <v>0</v>
      </c>
      <c r="V10" s="335">
        <f>'t3'!H8</f>
        <v>0</v>
      </c>
      <c r="W10" s="335">
        <f>'t3'!J8</f>
        <v>0</v>
      </c>
      <c r="X10" s="335">
        <f>'t3'!L8</f>
        <v>0</v>
      </c>
      <c r="Y10" s="335">
        <f t="shared" si="0"/>
        <v>0</v>
      </c>
      <c r="Z10" s="335">
        <f>'t10'!AV8</f>
        <v>0</v>
      </c>
      <c r="AA10" s="335" t="str">
        <f t="shared" si="4"/>
        <v>OK</v>
      </c>
      <c r="AB10" s="191" t="str">
        <f t="shared" si="5"/>
        <v>OK</v>
      </c>
    </row>
    <row r="11" spans="1:28" ht="14.1" customHeight="1">
      <c r="A11" s="139" t="str">
        <f>'t1'!A9</f>
        <v>SEGRETARIO GENERALE CCIAA</v>
      </c>
      <c r="B11" s="186" t="str">
        <f>'t1'!B9</f>
        <v>0D0104</v>
      </c>
      <c r="C11" s="334">
        <f>'t1'!L9</f>
        <v>0</v>
      </c>
      <c r="D11" s="334">
        <f>'t3'!M9</f>
        <v>0</v>
      </c>
      <c r="E11" s="335">
        <f>'t3'!O9</f>
        <v>0</v>
      </c>
      <c r="F11" s="335">
        <f>'t3'!Q9</f>
        <v>0</v>
      </c>
      <c r="G11" s="335">
        <f>'t3'!C9</f>
        <v>0</v>
      </c>
      <c r="H11" s="335">
        <f>'t3'!E9</f>
        <v>0</v>
      </c>
      <c r="I11" s="335">
        <f>'t3'!G9</f>
        <v>0</v>
      </c>
      <c r="J11" s="335">
        <f>'t3'!I9</f>
        <v>0</v>
      </c>
      <c r="K11" s="335">
        <f>'t3'!K9</f>
        <v>0</v>
      </c>
      <c r="L11" s="335">
        <f t="shared" si="1"/>
        <v>0</v>
      </c>
      <c r="M11" s="335">
        <f>'t10'!AU9</f>
        <v>0</v>
      </c>
      <c r="N11" s="335" t="str">
        <f t="shared" si="2"/>
        <v>OK</v>
      </c>
      <c r="O11" s="103" t="str">
        <f t="shared" si="3"/>
        <v>OK</v>
      </c>
      <c r="P11" s="334">
        <f>'t1'!M9</f>
        <v>0</v>
      </c>
      <c r="Q11" s="334">
        <f>'t3'!N9</f>
        <v>0</v>
      </c>
      <c r="R11" s="335">
        <f>'t3'!P9</f>
        <v>0</v>
      </c>
      <c r="S11" s="335">
        <f>'t3'!R9</f>
        <v>0</v>
      </c>
      <c r="T11" s="335">
        <f>'t3'!D9</f>
        <v>0</v>
      </c>
      <c r="U11" s="335">
        <f>'t3'!F9</f>
        <v>0</v>
      </c>
      <c r="V11" s="335">
        <f>'t3'!H9</f>
        <v>0</v>
      </c>
      <c r="W11" s="335">
        <f>'t3'!J9</f>
        <v>0</v>
      </c>
      <c r="X11" s="335">
        <f>'t3'!L9</f>
        <v>0</v>
      </c>
      <c r="Y11" s="335">
        <f t="shared" si="0"/>
        <v>0</v>
      </c>
      <c r="Z11" s="335">
        <f>'t10'!AV9</f>
        <v>0</v>
      </c>
      <c r="AA11" s="335" t="str">
        <f t="shared" si="4"/>
        <v>OK</v>
      </c>
      <c r="AB11" s="191" t="str">
        <f t="shared" si="5"/>
        <v>OK</v>
      </c>
    </row>
    <row r="12" spans="1:28" ht="14.1" customHeight="1">
      <c r="A12" s="139" t="str">
        <f>'t1'!A10</f>
        <v>DIRETTORE  GENERALE</v>
      </c>
      <c r="B12" s="186" t="str">
        <f>'t1'!B10</f>
        <v>0D0097</v>
      </c>
      <c r="C12" s="334">
        <f>'t1'!L10</f>
        <v>0</v>
      </c>
      <c r="D12" s="334">
        <f>'t3'!M10</f>
        <v>0</v>
      </c>
      <c r="E12" s="335">
        <f>'t3'!O10</f>
        <v>0</v>
      </c>
      <c r="F12" s="335">
        <f>'t3'!Q10</f>
        <v>0</v>
      </c>
      <c r="G12" s="335">
        <f>'t3'!C10</f>
        <v>0</v>
      </c>
      <c r="H12" s="335">
        <f>'t3'!E10</f>
        <v>0</v>
      </c>
      <c r="I12" s="335">
        <f>'t3'!G10</f>
        <v>0</v>
      </c>
      <c r="J12" s="335">
        <f>'t3'!I10</f>
        <v>0</v>
      </c>
      <c r="K12" s="335">
        <f>'t3'!K10</f>
        <v>0</v>
      </c>
      <c r="L12" s="335">
        <f t="shared" si="1"/>
        <v>0</v>
      </c>
      <c r="M12" s="335">
        <f>'t10'!AU10</f>
        <v>0</v>
      </c>
      <c r="N12" s="335" t="str">
        <f t="shared" si="2"/>
        <v>OK</v>
      </c>
      <c r="O12" s="103" t="str">
        <f t="shared" si="3"/>
        <v>OK</v>
      </c>
      <c r="P12" s="334">
        <f>'t1'!M10</f>
        <v>0</v>
      </c>
      <c r="Q12" s="334">
        <f>'t3'!N10</f>
        <v>0</v>
      </c>
      <c r="R12" s="335">
        <f>'t3'!P10</f>
        <v>0</v>
      </c>
      <c r="S12" s="335">
        <f>'t3'!R10</f>
        <v>0</v>
      </c>
      <c r="T12" s="335">
        <f>'t3'!D10</f>
        <v>0</v>
      </c>
      <c r="U12" s="335">
        <f>'t3'!F10</f>
        <v>0</v>
      </c>
      <c r="V12" s="335">
        <f>'t3'!H10</f>
        <v>0</v>
      </c>
      <c r="W12" s="335">
        <f>'t3'!J10</f>
        <v>0</v>
      </c>
      <c r="X12" s="335">
        <f>'t3'!L10</f>
        <v>0</v>
      </c>
      <c r="Y12" s="335">
        <f t="shared" si="0"/>
        <v>0</v>
      </c>
      <c r="Z12" s="335">
        <f>'t10'!AV10</f>
        <v>0</v>
      </c>
      <c r="AA12" s="335" t="str">
        <f t="shared" si="4"/>
        <v>OK</v>
      </c>
      <c r="AB12" s="191" t="str">
        <f t="shared" si="5"/>
        <v>OK</v>
      </c>
    </row>
    <row r="13" spans="1:28" ht="14.1" customHeight="1">
      <c r="A13" s="139" t="str">
        <f>'t1'!A11</f>
        <v>DIRIGENTE FUORI D.O. art.110 c.2 TUEL</v>
      </c>
      <c r="B13" s="186" t="str">
        <f>'t1'!B11</f>
        <v>0D0098</v>
      </c>
      <c r="C13" s="334">
        <f>'t1'!L11</f>
        <v>0</v>
      </c>
      <c r="D13" s="334">
        <f>'t3'!M11</f>
        <v>0</v>
      </c>
      <c r="E13" s="335">
        <f>'t3'!O11</f>
        <v>0</v>
      </c>
      <c r="F13" s="335">
        <f>'t3'!Q11</f>
        <v>0</v>
      </c>
      <c r="G13" s="335">
        <f>'t3'!C11</f>
        <v>0</v>
      </c>
      <c r="H13" s="335">
        <f>'t3'!E11</f>
        <v>0</v>
      </c>
      <c r="I13" s="335">
        <f>'t3'!G11</f>
        <v>0</v>
      </c>
      <c r="J13" s="335">
        <f>'t3'!I11</f>
        <v>0</v>
      </c>
      <c r="K13" s="335">
        <f>'t3'!K11</f>
        <v>0</v>
      </c>
      <c r="L13" s="335">
        <f t="shared" si="1"/>
        <v>0</v>
      </c>
      <c r="M13" s="335">
        <f>'t10'!AU11</f>
        <v>0</v>
      </c>
      <c r="N13" s="335" t="str">
        <f t="shared" si="2"/>
        <v>OK</v>
      </c>
      <c r="O13" s="103" t="str">
        <f t="shared" si="3"/>
        <v>OK</v>
      </c>
      <c r="P13" s="334">
        <f>'t1'!M11</f>
        <v>0</v>
      </c>
      <c r="Q13" s="334">
        <f>'t3'!N11</f>
        <v>0</v>
      </c>
      <c r="R13" s="335">
        <f>'t3'!P11</f>
        <v>0</v>
      </c>
      <c r="S13" s="335">
        <f>'t3'!R11</f>
        <v>0</v>
      </c>
      <c r="T13" s="335">
        <f>'t3'!D11</f>
        <v>0</v>
      </c>
      <c r="U13" s="335">
        <f>'t3'!F11</f>
        <v>0</v>
      </c>
      <c r="V13" s="335">
        <f>'t3'!H11</f>
        <v>0</v>
      </c>
      <c r="W13" s="335">
        <f>'t3'!J11</f>
        <v>0</v>
      </c>
      <c r="X13" s="335">
        <f>'t3'!L11</f>
        <v>0</v>
      </c>
      <c r="Y13" s="335">
        <f t="shared" si="0"/>
        <v>0</v>
      </c>
      <c r="Z13" s="335">
        <f>'t10'!AV11</f>
        <v>0</v>
      </c>
      <c r="AA13" s="335" t="str">
        <f t="shared" si="4"/>
        <v>OK</v>
      </c>
      <c r="AB13" s="191" t="str">
        <f t="shared" si="5"/>
        <v>OK</v>
      </c>
    </row>
    <row r="14" spans="1:28" ht="14.1" customHeight="1">
      <c r="A14" s="139" t="str">
        <f>'t1'!A12</f>
        <v>ALTE SPECIALIZZ. FUORI D.O.art.110 c.2 TUEL</v>
      </c>
      <c r="B14" s="186" t="str">
        <f>'t1'!B12</f>
        <v>0D0095</v>
      </c>
      <c r="C14" s="334">
        <f>'t1'!L12</f>
        <v>0</v>
      </c>
      <c r="D14" s="334">
        <f>'t3'!M12</f>
        <v>0</v>
      </c>
      <c r="E14" s="335">
        <f>'t3'!O12</f>
        <v>0</v>
      </c>
      <c r="F14" s="335">
        <f>'t3'!Q12</f>
        <v>0</v>
      </c>
      <c r="G14" s="335">
        <f>'t3'!C12</f>
        <v>0</v>
      </c>
      <c r="H14" s="335">
        <f>'t3'!E12</f>
        <v>0</v>
      </c>
      <c r="I14" s="335">
        <f>'t3'!G12</f>
        <v>0</v>
      </c>
      <c r="J14" s="335">
        <f>'t3'!I12</f>
        <v>0</v>
      </c>
      <c r="K14" s="335">
        <f>'t3'!K12</f>
        <v>0</v>
      </c>
      <c r="L14" s="335">
        <f t="shared" si="1"/>
        <v>0</v>
      </c>
      <c r="M14" s="335">
        <f>'t10'!AU12</f>
        <v>0</v>
      </c>
      <c r="N14" s="335" t="str">
        <f t="shared" si="2"/>
        <v>OK</v>
      </c>
      <c r="O14" s="103" t="str">
        <f t="shared" si="3"/>
        <v>OK</v>
      </c>
      <c r="P14" s="334">
        <f>'t1'!M12</f>
        <v>0</v>
      </c>
      <c r="Q14" s="334">
        <f>'t3'!N12</f>
        <v>0</v>
      </c>
      <c r="R14" s="335">
        <f>'t3'!P12</f>
        <v>0</v>
      </c>
      <c r="S14" s="335">
        <f>'t3'!R12</f>
        <v>0</v>
      </c>
      <c r="T14" s="335">
        <f>'t3'!D12</f>
        <v>0</v>
      </c>
      <c r="U14" s="335">
        <f>'t3'!F12</f>
        <v>0</v>
      </c>
      <c r="V14" s="335">
        <f>'t3'!H12</f>
        <v>0</v>
      </c>
      <c r="W14" s="335">
        <f>'t3'!J12</f>
        <v>0</v>
      </c>
      <c r="X14" s="335">
        <f>'t3'!L12</f>
        <v>0</v>
      </c>
      <c r="Y14" s="335">
        <f t="shared" si="0"/>
        <v>0</v>
      </c>
      <c r="Z14" s="335">
        <f>'t10'!AV12</f>
        <v>0</v>
      </c>
      <c r="AA14" s="335" t="str">
        <f t="shared" si="4"/>
        <v>OK</v>
      </c>
      <c r="AB14" s="191" t="str">
        <f t="shared" si="5"/>
        <v>OK</v>
      </c>
    </row>
    <row r="15" spans="1:28" ht="14.1" customHeight="1">
      <c r="A15" s="139" t="str">
        <f>'t1'!A13</f>
        <v>DIRIGENTE A TEMPO INDETERMINATO</v>
      </c>
      <c r="B15" s="186" t="str">
        <f>'t1'!B13</f>
        <v>0D0164</v>
      </c>
      <c r="C15" s="334">
        <f>'t1'!L13</f>
        <v>0</v>
      </c>
      <c r="D15" s="334">
        <f>'t3'!M13</f>
        <v>0</v>
      </c>
      <c r="E15" s="335">
        <f>'t3'!O13</f>
        <v>0</v>
      </c>
      <c r="F15" s="335">
        <f>'t3'!Q13</f>
        <v>0</v>
      </c>
      <c r="G15" s="335">
        <f>'t3'!C13</f>
        <v>0</v>
      </c>
      <c r="H15" s="335">
        <f>'t3'!E13</f>
        <v>0</v>
      </c>
      <c r="I15" s="335">
        <f>'t3'!G13</f>
        <v>0</v>
      </c>
      <c r="J15" s="335">
        <f>'t3'!I13</f>
        <v>0</v>
      </c>
      <c r="K15" s="335">
        <f>'t3'!K13</f>
        <v>0</v>
      </c>
      <c r="L15" s="335">
        <f t="shared" si="1"/>
        <v>0</v>
      </c>
      <c r="M15" s="335">
        <f>'t10'!AU13</f>
        <v>0</v>
      </c>
      <c r="N15" s="335" t="str">
        <f t="shared" si="2"/>
        <v>OK</v>
      </c>
      <c r="O15" s="103" t="str">
        <f t="shared" si="3"/>
        <v>OK</v>
      </c>
      <c r="P15" s="334">
        <f>'t1'!M13</f>
        <v>0</v>
      </c>
      <c r="Q15" s="334">
        <f>'t3'!N13</f>
        <v>0</v>
      </c>
      <c r="R15" s="335">
        <f>'t3'!P13</f>
        <v>0</v>
      </c>
      <c r="S15" s="335">
        <f>'t3'!R13</f>
        <v>0</v>
      </c>
      <c r="T15" s="335">
        <f>'t3'!D13</f>
        <v>0</v>
      </c>
      <c r="U15" s="335">
        <f>'t3'!F13</f>
        <v>0</v>
      </c>
      <c r="V15" s="335">
        <f>'t3'!H13</f>
        <v>0</v>
      </c>
      <c r="W15" s="335">
        <f>'t3'!J13</f>
        <v>0</v>
      </c>
      <c r="X15" s="335">
        <f>'t3'!L13</f>
        <v>0</v>
      </c>
      <c r="Y15" s="335">
        <f t="shared" si="0"/>
        <v>0</v>
      </c>
      <c r="Z15" s="335">
        <f>'t10'!AV13</f>
        <v>0</v>
      </c>
      <c r="AA15" s="335" t="str">
        <f t="shared" si="4"/>
        <v>OK</v>
      </c>
      <c r="AB15" s="191" t="str">
        <f t="shared" si="5"/>
        <v>OK</v>
      </c>
    </row>
    <row r="16" spans="1:28" ht="14.1" customHeight="1">
      <c r="A16" s="139" t="str">
        <f>'t1'!A14</f>
        <v>DIRIGENTE A TEMPO DET.TO  ART.110 C.1 TUEL</v>
      </c>
      <c r="B16" s="186" t="str">
        <f>'t1'!B14</f>
        <v>0D0165</v>
      </c>
      <c r="C16" s="334">
        <f>'t1'!L14</f>
        <v>0</v>
      </c>
      <c r="D16" s="334">
        <f>'t3'!M14</f>
        <v>0</v>
      </c>
      <c r="E16" s="335">
        <f>'t3'!O14</f>
        <v>0</v>
      </c>
      <c r="F16" s="335">
        <f>'t3'!Q14</f>
        <v>0</v>
      </c>
      <c r="G16" s="335">
        <f>'t3'!C14</f>
        <v>0</v>
      </c>
      <c r="H16" s="335">
        <f>'t3'!E14</f>
        <v>0</v>
      </c>
      <c r="I16" s="335">
        <f>'t3'!G14</f>
        <v>0</v>
      </c>
      <c r="J16" s="335">
        <f>'t3'!I14</f>
        <v>0</v>
      </c>
      <c r="K16" s="335">
        <f>'t3'!K14</f>
        <v>0</v>
      </c>
      <c r="L16" s="335">
        <f t="shared" si="1"/>
        <v>0</v>
      </c>
      <c r="M16" s="335">
        <f>'t10'!AU14</f>
        <v>0</v>
      </c>
      <c r="N16" s="335" t="str">
        <f t="shared" si="2"/>
        <v>OK</v>
      </c>
      <c r="O16" s="103" t="str">
        <f t="shared" si="3"/>
        <v>OK</v>
      </c>
      <c r="P16" s="334">
        <f>'t1'!M14</f>
        <v>0</v>
      </c>
      <c r="Q16" s="334">
        <f>'t3'!N14</f>
        <v>0</v>
      </c>
      <c r="R16" s="335">
        <f>'t3'!P14</f>
        <v>0</v>
      </c>
      <c r="S16" s="335">
        <f>'t3'!R14</f>
        <v>0</v>
      </c>
      <c r="T16" s="335">
        <f>'t3'!D14</f>
        <v>0</v>
      </c>
      <c r="U16" s="335">
        <f>'t3'!F14</f>
        <v>0</v>
      </c>
      <c r="V16" s="335">
        <f>'t3'!H14</f>
        <v>0</v>
      </c>
      <c r="W16" s="335">
        <f>'t3'!J14</f>
        <v>0</v>
      </c>
      <c r="X16" s="335">
        <f>'t3'!L14</f>
        <v>0</v>
      </c>
      <c r="Y16" s="335">
        <f t="shared" si="0"/>
        <v>0</v>
      </c>
      <c r="Z16" s="335">
        <f>'t10'!AV14</f>
        <v>0</v>
      </c>
      <c r="AA16" s="335" t="str">
        <f t="shared" si="4"/>
        <v>OK</v>
      </c>
      <c r="AB16" s="191" t="str">
        <f t="shared" si="5"/>
        <v>OK</v>
      </c>
    </row>
    <row r="17" spans="1:28" ht="14.1" customHeight="1">
      <c r="A17" s="139" t="str">
        <f>'t1'!A15</f>
        <v>ALTE SPECIALIZZ. IN D.O. art.110 c.1 TUEL</v>
      </c>
      <c r="B17" s="186" t="str">
        <f>'t1'!B15</f>
        <v>0D0I95</v>
      </c>
      <c r="C17" s="334">
        <f>'t1'!L15</f>
        <v>0</v>
      </c>
      <c r="D17" s="334">
        <f>'t3'!M15</f>
        <v>0</v>
      </c>
      <c r="E17" s="335">
        <f>'t3'!O15</f>
        <v>0</v>
      </c>
      <c r="F17" s="335">
        <f>'t3'!Q15</f>
        <v>0</v>
      </c>
      <c r="G17" s="335">
        <f>'t3'!C15</f>
        <v>0</v>
      </c>
      <c r="H17" s="335">
        <f>'t3'!E15</f>
        <v>0</v>
      </c>
      <c r="I17" s="335">
        <f>'t3'!G15</f>
        <v>0</v>
      </c>
      <c r="J17" s="335">
        <f>'t3'!I15</f>
        <v>0</v>
      </c>
      <c r="K17" s="335">
        <f>'t3'!K15</f>
        <v>0</v>
      </c>
      <c r="L17" s="335">
        <f t="shared" si="1"/>
        <v>0</v>
      </c>
      <c r="M17" s="335">
        <f>'t10'!AU15</f>
        <v>0</v>
      </c>
      <c r="N17" s="335" t="str">
        <f t="shared" si="2"/>
        <v>OK</v>
      </c>
      <c r="O17" s="103" t="str">
        <f t="shared" si="3"/>
        <v>OK</v>
      </c>
      <c r="P17" s="334">
        <f>'t1'!M15</f>
        <v>0</v>
      </c>
      <c r="Q17" s="334">
        <f>'t3'!N15</f>
        <v>0</v>
      </c>
      <c r="R17" s="335">
        <f>'t3'!P15</f>
        <v>0</v>
      </c>
      <c r="S17" s="335">
        <f>'t3'!R15</f>
        <v>0</v>
      </c>
      <c r="T17" s="335">
        <f>'t3'!D15</f>
        <v>0</v>
      </c>
      <c r="U17" s="335">
        <f>'t3'!F15</f>
        <v>0</v>
      </c>
      <c r="V17" s="335">
        <f>'t3'!H15</f>
        <v>0</v>
      </c>
      <c r="W17" s="335">
        <f>'t3'!J15</f>
        <v>0</v>
      </c>
      <c r="X17" s="335">
        <f>'t3'!L15</f>
        <v>0</v>
      </c>
      <c r="Y17" s="335">
        <f t="shared" si="0"/>
        <v>0</v>
      </c>
      <c r="Z17" s="335">
        <f>'t10'!AV15</f>
        <v>0</v>
      </c>
      <c r="AA17" s="335" t="str">
        <f t="shared" si="4"/>
        <v>OK</v>
      </c>
      <c r="AB17" s="191" t="str">
        <f t="shared" si="5"/>
        <v>OK</v>
      </c>
    </row>
    <row r="18" spans="1:28" ht="14.1" customHeight="1">
      <c r="A18" s="139" t="str">
        <f>'t1'!A16</f>
        <v>POSIZ. ECON. D6 - PROFILI ACCESSO D3</v>
      </c>
      <c r="B18" s="186" t="str">
        <f>'t1'!B16</f>
        <v>0D6A00</v>
      </c>
      <c r="C18" s="334">
        <f>'t1'!L16</f>
        <v>0</v>
      </c>
      <c r="D18" s="334">
        <f>'t3'!M16</f>
        <v>0</v>
      </c>
      <c r="E18" s="335">
        <f>'t3'!O16</f>
        <v>0</v>
      </c>
      <c r="F18" s="335">
        <f>'t3'!Q16</f>
        <v>0</v>
      </c>
      <c r="G18" s="335">
        <f>'t3'!C16</f>
        <v>0</v>
      </c>
      <c r="H18" s="335">
        <f>'t3'!E16</f>
        <v>0</v>
      </c>
      <c r="I18" s="335">
        <f>'t3'!G16</f>
        <v>0</v>
      </c>
      <c r="J18" s="335">
        <f>'t3'!I16</f>
        <v>0</v>
      </c>
      <c r="K18" s="335">
        <f>'t3'!K16</f>
        <v>0</v>
      </c>
      <c r="L18" s="335">
        <f t="shared" si="1"/>
        <v>0</v>
      </c>
      <c r="M18" s="335">
        <f>'t10'!AU16</f>
        <v>0</v>
      </c>
      <c r="N18" s="335" t="str">
        <f t="shared" si="2"/>
        <v>OK</v>
      </c>
      <c r="O18" s="103" t="str">
        <f t="shared" si="3"/>
        <v>OK</v>
      </c>
      <c r="P18" s="334">
        <f>'t1'!M16</f>
        <v>0</v>
      </c>
      <c r="Q18" s="334">
        <f>'t3'!N16</f>
        <v>0</v>
      </c>
      <c r="R18" s="335">
        <f>'t3'!P16</f>
        <v>0</v>
      </c>
      <c r="S18" s="335">
        <f>'t3'!R16</f>
        <v>0</v>
      </c>
      <c r="T18" s="335">
        <f>'t3'!D16</f>
        <v>0</v>
      </c>
      <c r="U18" s="335">
        <f>'t3'!F16</f>
        <v>0</v>
      </c>
      <c r="V18" s="335">
        <f>'t3'!H16</f>
        <v>0</v>
      </c>
      <c r="W18" s="335">
        <f>'t3'!J16</f>
        <v>0</v>
      </c>
      <c r="X18" s="335">
        <f>'t3'!L16</f>
        <v>0</v>
      </c>
      <c r="Y18" s="335">
        <f t="shared" si="0"/>
        <v>0</v>
      </c>
      <c r="Z18" s="335">
        <f>'t10'!AV16</f>
        <v>0</v>
      </c>
      <c r="AA18" s="335" t="str">
        <f t="shared" si="4"/>
        <v>OK</v>
      </c>
      <c r="AB18" s="191" t="str">
        <f t="shared" si="5"/>
        <v>OK</v>
      </c>
    </row>
    <row r="19" spans="1:28" ht="14.1" customHeight="1">
      <c r="A19" s="139" t="str">
        <f>'t1'!A17</f>
        <v>POSIZ. ECON. D6 - PROFILO ACCESSO D1</v>
      </c>
      <c r="B19" s="186" t="str">
        <f>'t1'!B17</f>
        <v>0D6000</v>
      </c>
      <c r="C19" s="334">
        <f>'t1'!L17</f>
        <v>0</v>
      </c>
      <c r="D19" s="334">
        <f>'t3'!M17</f>
        <v>0</v>
      </c>
      <c r="E19" s="335">
        <f>'t3'!O17</f>
        <v>0</v>
      </c>
      <c r="F19" s="335">
        <f>'t3'!Q17</f>
        <v>0</v>
      </c>
      <c r="G19" s="335">
        <f>'t3'!C17</f>
        <v>0</v>
      </c>
      <c r="H19" s="335">
        <f>'t3'!E17</f>
        <v>0</v>
      </c>
      <c r="I19" s="335">
        <f>'t3'!G17</f>
        <v>0</v>
      </c>
      <c r="J19" s="335">
        <f>'t3'!I17</f>
        <v>0</v>
      </c>
      <c r="K19" s="335">
        <f>'t3'!K17</f>
        <v>0</v>
      </c>
      <c r="L19" s="335">
        <f t="shared" si="1"/>
        <v>0</v>
      </c>
      <c r="M19" s="335">
        <f>'t10'!AU17</f>
        <v>0</v>
      </c>
      <c r="N19" s="335" t="str">
        <f t="shared" si="2"/>
        <v>OK</v>
      </c>
      <c r="O19" s="103" t="str">
        <f t="shared" si="3"/>
        <v>OK</v>
      </c>
      <c r="P19" s="334">
        <f>'t1'!M17</f>
        <v>0</v>
      </c>
      <c r="Q19" s="334">
        <f>'t3'!N17</f>
        <v>0</v>
      </c>
      <c r="R19" s="335">
        <f>'t3'!P17</f>
        <v>0</v>
      </c>
      <c r="S19" s="335">
        <f>'t3'!R17</f>
        <v>0</v>
      </c>
      <c r="T19" s="335">
        <f>'t3'!D17</f>
        <v>0</v>
      </c>
      <c r="U19" s="335">
        <f>'t3'!F17</f>
        <v>0</v>
      </c>
      <c r="V19" s="335">
        <f>'t3'!H17</f>
        <v>0</v>
      </c>
      <c r="W19" s="335">
        <f>'t3'!J17</f>
        <v>0</v>
      </c>
      <c r="X19" s="335">
        <f>'t3'!L17</f>
        <v>0</v>
      </c>
      <c r="Y19" s="335">
        <f t="shared" si="0"/>
        <v>0</v>
      </c>
      <c r="Z19" s="335">
        <f>'t10'!AV17</f>
        <v>0</v>
      </c>
      <c r="AA19" s="335" t="str">
        <f t="shared" si="4"/>
        <v>OK</v>
      </c>
      <c r="AB19" s="191" t="str">
        <f t="shared" si="5"/>
        <v>OK</v>
      </c>
    </row>
    <row r="20" spans="1:28" ht="14.1" customHeight="1">
      <c r="A20" s="139" t="str">
        <f>'t1'!A18</f>
        <v>POSIZ. ECON. D5 PROFILI ACCESSO D3</v>
      </c>
      <c r="B20" s="186" t="str">
        <f>'t1'!B18</f>
        <v>052486</v>
      </c>
      <c r="C20" s="334">
        <f>'t1'!L18</f>
        <v>0</v>
      </c>
      <c r="D20" s="334">
        <f>'t3'!M18</f>
        <v>0</v>
      </c>
      <c r="E20" s="335">
        <f>'t3'!O18</f>
        <v>0</v>
      </c>
      <c r="F20" s="335">
        <f>'t3'!Q18</f>
        <v>0</v>
      </c>
      <c r="G20" s="335">
        <f>'t3'!C18</f>
        <v>0</v>
      </c>
      <c r="H20" s="335">
        <f>'t3'!E18</f>
        <v>0</v>
      </c>
      <c r="I20" s="335">
        <f>'t3'!G18</f>
        <v>0</v>
      </c>
      <c r="J20" s="335">
        <f>'t3'!I18</f>
        <v>0</v>
      </c>
      <c r="K20" s="335">
        <f>'t3'!K18</f>
        <v>0</v>
      </c>
      <c r="L20" s="335">
        <f t="shared" si="1"/>
        <v>0</v>
      </c>
      <c r="M20" s="335">
        <f>'t10'!AU18</f>
        <v>0</v>
      </c>
      <c r="N20" s="335" t="str">
        <f t="shared" si="2"/>
        <v>OK</v>
      </c>
      <c r="O20" s="103" t="str">
        <f t="shared" si="3"/>
        <v>OK</v>
      </c>
      <c r="P20" s="334">
        <f>'t1'!M18</f>
        <v>0</v>
      </c>
      <c r="Q20" s="334">
        <f>'t3'!N18</f>
        <v>0</v>
      </c>
      <c r="R20" s="335">
        <f>'t3'!P18</f>
        <v>0</v>
      </c>
      <c r="S20" s="335">
        <f>'t3'!R18</f>
        <v>0</v>
      </c>
      <c r="T20" s="335">
        <f>'t3'!D18</f>
        <v>0</v>
      </c>
      <c r="U20" s="335">
        <f>'t3'!F18</f>
        <v>0</v>
      </c>
      <c r="V20" s="335">
        <f>'t3'!H18</f>
        <v>0</v>
      </c>
      <c r="W20" s="335">
        <f>'t3'!J18</f>
        <v>0</v>
      </c>
      <c r="X20" s="335">
        <f>'t3'!L18</f>
        <v>0</v>
      </c>
      <c r="Y20" s="335">
        <f t="shared" si="0"/>
        <v>0</v>
      </c>
      <c r="Z20" s="335">
        <f>'t10'!AV18</f>
        <v>0</v>
      </c>
      <c r="AA20" s="335" t="str">
        <f t="shared" si="4"/>
        <v>OK</v>
      </c>
      <c r="AB20" s="191" t="str">
        <f t="shared" si="5"/>
        <v>OK</v>
      </c>
    </row>
    <row r="21" spans="1:28" ht="14.1" customHeight="1">
      <c r="A21" s="139" t="str">
        <f>'t1'!A19</f>
        <v>POSIZ. ECON. D5 PROFILI ACCESSO D1</v>
      </c>
      <c r="B21" s="186" t="str">
        <f>'t1'!B19</f>
        <v>052487</v>
      </c>
      <c r="C21" s="334">
        <f>'t1'!L19</f>
        <v>0</v>
      </c>
      <c r="D21" s="334">
        <f>'t3'!M19</f>
        <v>0</v>
      </c>
      <c r="E21" s="335">
        <f>'t3'!O19</f>
        <v>0</v>
      </c>
      <c r="F21" s="335">
        <f>'t3'!Q19</f>
        <v>0</v>
      </c>
      <c r="G21" s="335">
        <f>'t3'!C19</f>
        <v>0</v>
      </c>
      <c r="H21" s="335">
        <f>'t3'!E19</f>
        <v>0</v>
      </c>
      <c r="I21" s="335">
        <f>'t3'!G19</f>
        <v>0</v>
      </c>
      <c r="J21" s="335">
        <f>'t3'!I19</f>
        <v>0</v>
      </c>
      <c r="K21" s="335">
        <f>'t3'!K19</f>
        <v>0</v>
      </c>
      <c r="L21" s="335">
        <f t="shared" si="1"/>
        <v>0</v>
      </c>
      <c r="M21" s="335">
        <f>'t10'!AU19</f>
        <v>0</v>
      </c>
      <c r="N21" s="335" t="str">
        <f t="shared" si="2"/>
        <v>OK</v>
      </c>
      <c r="O21" s="103" t="str">
        <f t="shared" si="3"/>
        <v>OK</v>
      </c>
      <c r="P21" s="334">
        <f>'t1'!M19</f>
        <v>0</v>
      </c>
      <c r="Q21" s="334">
        <f>'t3'!N19</f>
        <v>0</v>
      </c>
      <c r="R21" s="335">
        <f>'t3'!P19</f>
        <v>0</v>
      </c>
      <c r="S21" s="335">
        <f>'t3'!R19</f>
        <v>0</v>
      </c>
      <c r="T21" s="335">
        <f>'t3'!D19</f>
        <v>0</v>
      </c>
      <c r="U21" s="335">
        <f>'t3'!F19</f>
        <v>0</v>
      </c>
      <c r="V21" s="335">
        <f>'t3'!H19</f>
        <v>0</v>
      </c>
      <c r="W21" s="335">
        <f>'t3'!J19</f>
        <v>0</v>
      </c>
      <c r="X21" s="335">
        <f>'t3'!L19</f>
        <v>0</v>
      </c>
      <c r="Y21" s="335">
        <f t="shared" si="0"/>
        <v>0</v>
      </c>
      <c r="Z21" s="335">
        <f>'t10'!AV19</f>
        <v>0</v>
      </c>
      <c r="AA21" s="335" t="str">
        <f t="shared" si="4"/>
        <v>OK</v>
      </c>
      <c r="AB21" s="191" t="str">
        <f t="shared" si="5"/>
        <v>OK</v>
      </c>
    </row>
    <row r="22" spans="1:28" ht="14.1" customHeight="1">
      <c r="A22" s="139" t="str">
        <f>'t1'!A20</f>
        <v>POSIZ. ECON. D4 PROFILI ACCESSO D3</v>
      </c>
      <c r="B22" s="186" t="str">
        <f>'t1'!B20</f>
        <v>051488</v>
      </c>
      <c r="C22" s="334">
        <f>'t1'!L20</f>
        <v>0</v>
      </c>
      <c r="D22" s="334">
        <f>'t3'!M20</f>
        <v>0</v>
      </c>
      <c r="E22" s="335">
        <f>'t3'!O20</f>
        <v>0</v>
      </c>
      <c r="F22" s="335">
        <f>'t3'!Q20</f>
        <v>0</v>
      </c>
      <c r="G22" s="335">
        <f>'t3'!C20</f>
        <v>0</v>
      </c>
      <c r="H22" s="335">
        <f>'t3'!E20</f>
        <v>0</v>
      </c>
      <c r="I22" s="335">
        <f>'t3'!G20</f>
        <v>0</v>
      </c>
      <c r="J22" s="335">
        <f>'t3'!I20</f>
        <v>0</v>
      </c>
      <c r="K22" s="335">
        <f>'t3'!K20</f>
        <v>0</v>
      </c>
      <c r="L22" s="335">
        <f t="shared" si="1"/>
        <v>0</v>
      </c>
      <c r="M22" s="335">
        <f>'t10'!AU20</f>
        <v>0</v>
      </c>
      <c r="N22" s="335" t="str">
        <f t="shared" si="2"/>
        <v>OK</v>
      </c>
      <c r="O22" s="103" t="str">
        <f t="shared" si="3"/>
        <v>OK</v>
      </c>
      <c r="P22" s="334">
        <f>'t1'!M20</f>
        <v>0</v>
      </c>
      <c r="Q22" s="334">
        <f>'t3'!N20</f>
        <v>0</v>
      </c>
      <c r="R22" s="335">
        <f>'t3'!P20</f>
        <v>0</v>
      </c>
      <c r="S22" s="335">
        <f>'t3'!R20</f>
        <v>0</v>
      </c>
      <c r="T22" s="335">
        <f>'t3'!D20</f>
        <v>0</v>
      </c>
      <c r="U22" s="335">
        <f>'t3'!F20</f>
        <v>0</v>
      </c>
      <c r="V22" s="335">
        <f>'t3'!H20</f>
        <v>0</v>
      </c>
      <c r="W22" s="335">
        <f>'t3'!J20</f>
        <v>0</v>
      </c>
      <c r="X22" s="335">
        <f>'t3'!L20</f>
        <v>0</v>
      </c>
      <c r="Y22" s="335">
        <f t="shared" si="0"/>
        <v>0</v>
      </c>
      <c r="Z22" s="335">
        <f>'t10'!AV20</f>
        <v>0</v>
      </c>
      <c r="AA22" s="335" t="str">
        <f t="shared" si="4"/>
        <v>OK</v>
      </c>
      <c r="AB22" s="191" t="str">
        <f t="shared" si="5"/>
        <v>OK</v>
      </c>
    </row>
    <row r="23" spans="1:28" ht="14.1" customHeight="1">
      <c r="A23" s="139" t="str">
        <f>'t1'!A21</f>
        <v>POSIZ. ECON. D4 PROFILI ACCESSO D1</v>
      </c>
      <c r="B23" s="186" t="str">
        <f>'t1'!B21</f>
        <v>051489</v>
      </c>
      <c r="C23" s="334">
        <f>'t1'!L21</f>
        <v>0</v>
      </c>
      <c r="D23" s="334">
        <f>'t3'!M21</f>
        <v>0</v>
      </c>
      <c r="E23" s="335">
        <f>'t3'!O21</f>
        <v>0</v>
      </c>
      <c r="F23" s="335">
        <f>'t3'!Q21</f>
        <v>0</v>
      </c>
      <c r="G23" s="335">
        <f>'t3'!C21</f>
        <v>0</v>
      </c>
      <c r="H23" s="335">
        <f>'t3'!E21</f>
        <v>0</v>
      </c>
      <c r="I23" s="335">
        <f>'t3'!G21</f>
        <v>0</v>
      </c>
      <c r="J23" s="335">
        <f>'t3'!I21</f>
        <v>0</v>
      </c>
      <c r="K23" s="335">
        <f>'t3'!K21</f>
        <v>0</v>
      </c>
      <c r="L23" s="335">
        <f t="shared" si="1"/>
        <v>0</v>
      </c>
      <c r="M23" s="335">
        <f>'t10'!AU21</f>
        <v>0</v>
      </c>
      <c r="N23" s="335" t="str">
        <f t="shared" si="2"/>
        <v>OK</v>
      </c>
      <c r="O23" s="103" t="str">
        <f t="shared" si="3"/>
        <v>OK</v>
      </c>
      <c r="P23" s="334">
        <f>'t1'!M21</f>
        <v>0</v>
      </c>
      <c r="Q23" s="334">
        <f>'t3'!N21</f>
        <v>0</v>
      </c>
      <c r="R23" s="335">
        <f>'t3'!P21</f>
        <v>0</v>
      </c>
      <c r="S23" s="335">
        <f>'t3'!R21</f>
        <v>0</v>
      </c>
      <c r="T23" s="335">
        <f>'t3'!D21</f>
        <v>0</v>
      </c>
      <c r="U23" s="335">
        <f>'t3'!F21</f>
        <v>0</v>
      </c>
      <c r="V23" s="335">
        <f>'t3'!H21</f>
        <v>0</v>
      </c>
      <c r="W23" s="335">
        <f>'t3'!J21</f>
        <v>0</v>
      </c>
      <c r="X23" s="335">
        <f>'t3'!L21</f>
        <v>0</v>
      </c>
      <c r="Y23" s="335">
        <f t="shared" si="0"/>
        <v>0</v>
      </c>
      <c r="Z23" s="335">
        <f>'t10'!AV21</f>
        <v>0</v>
      </c>
      <c r="AA23" s="335" t="str">
        <f t="shared" si="4"/>
        <v>OK</v>
      </c>
      <c r="AB23" s="191" t="str">
        <f t="shared" si="5"/>
        <v>OK</v>
      </c>
    </row>
    <row r="24" spans="1:28" ht="14.1" customHeight="1">
      <c r="A24" s="139" t="str">
        <f>'t1'!A22</f>
        <v>POSIZIONE ECONOMICA DI ACCESSO D3</v>
      </c>
      <c r="B24" s="186" t="str">
        <f>'t1'!B22</f>
        <v>058000</v>
      </c>
      <c r="C24" s="334">
        <f>'t1'!L22</f>
        <v>0</v>
      </c>
      <c r="D24" s="334">
        <f>'t3'!M22</f>
        <v>0</v>
      </c>
      <c r="E24" s="335">
        <f>'t3'!O22</f>
        <v>0</v>
      </c>
      <c r="F24" s="335">
        <f>'t3'!Q22</f>
        <v>0</v>
      </c>
      <c r="G24" s="335">
        <f>'t3'!C22</f>
        <v>0</v>
      </c>
      <c r="H24" s="335">
        <f>'t3'!E22</f>
        <v>0</v>
      </c>
      <c r="I24" s="335">
        <f>'t3'!G22</f>
        <v>0</v>
      </c>
      <c r="J24" s="335">
        <f>'t3'!I22</f>
        <v>0</v>
      </c>
      <c r="K24" s="335">
        <f>'t3'!K22</f>
        <v>0</v>
      </c>
      <c r="L24" s="335">
        <f t="shared" si="1"/>
        <v>0</v>
      </c>
      <c r="M24" s="335">
        <f>'t10'!AU22</f>
        <v>0</v>
      </c>
      <c r="N24" s="335" t="str">
        <f t="shared" si="2"/>
        <v>OK</v>
      </c>
      <c r="O24" s="103" t="str">
        <f t="shared" si="3"/>
        <v>OK</v>
      </c>
      <c r="P24" s="334">
        <f>'t1'!M22</f>
        <v>0</v>
      </c>
      <c r="Q24" s="334">
        <f>'t3'!N22</f>
        <v>0</v>
      </c>
      <c r="R24" s="335">
        <f>'t3'!P22</f>
        <v>0</v>
      </c>
      <c r="S24" s="335">
        <f>'t3'!R22</f>
        <v>0</v>
      </c>
      <c r="T24" s="335">
        <f>'t3'!D22</f>
        <v>0</v>
      </c>
      <c r="U24" s="335">
        <f>'t3'!F22</f>
        <v>0</v>
      </c>
      <c r="V24" s="335">
        <f>'t3'!H22</f>
        <v>0</v>
      </c>
      <c r="W24" s="335">
        <f>'t3'!J22</f>
        <v>0</v>
      </c>
      <c r="X24" s="335">
        <f>'t3'!L22</f>
        <v>0</v>
      </c>
      <c r="Y24" s="335">
        <f t="shared" si="0"/>
        <v>0</v>
      </c>
      <c r="Z24" s="335">
        <f>'t10'!AV22</f>
        <v>0</v>
      </c>
      <c r="AA24" s="335" t="str">
        <f t="shared" si="4"/>
        <v>OK</v>
      </c>
      <c r="AB24" s="191" t="str">
        <f t="shared" si="5"/>
        <v>OK</v>
      </c>
    </row>
    <row r="25" spans="1:28" ht="14.1" customHeight="1">
      <c r="A25" s="139" t="str">
        <f>'t1'!A23</f>
        <v>POSIZIONE ECONOMICA D3</v>
      </c>
      <c r="B25" s="186" t="str">
        <f>'t1'!B23</f>
        <v>050000</v>
      </c>
      <c r="C25" s="334">
        <f>'t1'!L23</f>
        <v>0</v>
      </c>
      <c r="D25" s="334">
        <f>'t3'!M23</f>
        <v>0</v>
      </c>
      <c r="E25" s="335">
        <f>'t3'!O23</f>
        <v>0</v>
      </c>
      <c r="F25" s="335">
        <f>'t3'!Q23</f>
        <v>0</v>
      </c>
      <c r="G25" s="335">
        <f>'t3'!C23</f>
        <v>0</v>
      </c>
      <c r="H25" s="335">
        <f>'t3'!E23</f>
        <v>0</v>
      </c>
      <c r="I25" s="335">
        <f>'t3'!G23</f>
        <v>0</v>
      </c>
      <c r="J25" s="335">
        <f>'t3'!I23</f>
        <v>0</v>
      </c>
      <c r="K25" s="335">
        <f>'t3'!K23</f>
        <v>0</v>
      </c>
      <c r="L25" s="335">
        <f t="shared" si="1"/>
        <v>0</v>
      </c>
      <c r="M25" s="335">
        <f>'t10'!AU23</f>
        <v>0</v>
      </c>
      <c r="N25" s="335" t="str">
        <f t="shared" si="2"/>
        <v>OK</v>
      </c>
      <c r="O25" s="103" t="str">
        <f t="shared" si="3"/>
        <v>OK</v>
      </c>
      <c r="P25" s="334">
        <f>'t1'!M23</f>
        <v>0</v>
      </c>
      <c r="Q25" s="334">
        <f>'t3'!N23</f>
        <v>0</v>
      </c>
      <c r="R25" s="335">
        <f>'t3'!P23</f>
        <v>0</v>
      </c>
      <c r="S25" s="335">
        <f>'t3'!R23</f>
        <v>0</v>
      </c>
      <c r="T25" s="335">
        <f>'t3'!D23</f>
        <v>0</v>
      </c>
      <c r="U25" s="335">
        <f>'t3'!F23</f>
        <v>0</v>
      </c>
      <c r="V25" s="335">
        <f>'t3'!H23</f>
        <v>0</v>
      </c>
      <c r="W25" s="335">
        <f>'t3'!J23</f>
        <v>0</v>
      </c>
      <c r="X25" s="335">
        <f>'t3'!L23</f>
        <v>0</v>
      </c>
      <c r="Y25" s="335">
        <f t="shared" si="0"/>
        <v>0</v>
      </c>
      <c r="Z25" s="335">
        <f>'t10'!AV23</f>
        <v>0</v>
      </c>
      <c r="AA25" s="335" t="str">
        <f t="shared" si="4"/>
        <v>OK</v>
      </c>
      <c r="AB25" s="191" t="str">
        <f t="shared" si="5"/>
        <v>OK</v>
      </c>
    </row>
    <row r="26" spans="1:28" ht="14.1" customHeight="1">
      <c r="A26" s="139" t="str">
        <f>'t1'!A24</f>
        <v>POSIZIONE ECONOMICA D2</v>
      </c>
      <c r="B26" s="186" t="str">
        <f>'t1'!B24</f>
        <v>049000</v>
      </c>
      <c r="C26" s="334">
        <f>'t1'!L24</f>
        <v>0</v>
      </c>
      <c r="D26" s="334">
        <f>'t3'!M24</f>
        <v>0</v>
      </c>
      <c r="E26" s="335">
        <f>'t3'!O24</f>
        <v>0</v>
      </c>
      <c r="F26" s="335">
        <f>'t3'!Q24</f>
        <v>0</v>
      </c>
      <c r="G26" s="335">
        <f>'t3'!C24</f>
        <v>0</v>
      </c>
      <c r="H26" s="335">
        <f>'t3'!E24</f>
        <v>0</v>
      </c>
      <c r="I26" s="335">
        <f>'t3'!G24</f>
        <v>0</v>
      </c>
      <c r="J26" s="335">
        <f>'t3'!I24</f>
        <v>0</v>
      </c>
      <c r="K26" s="335">
        <f>'t3'!K24</f>
        <v>0</v>
      </c>
      <c r="L26" s="335">
        <f t="shared" si="1"/>
        <v>0</v>
      </c>
      <c r="M26" s="335">
        <f>'t10'!AU24</f>
        <v>0</v>
      </c>
      <c r="N26" s="335" t="str">
        <f t="shared" si="2"/>
        <v>OK</v>
      </c>
      <c r="O26" s="103" t="str">
        <f t="shared" si="3"/>
        <v>OK</v>
      </c>
      <c r="P26" s="334">
        <f>'t1'!M24</f>
        <v>0</v>
      </c>
      <c r="Q26" s="334">
        <f>'t3'!N24</f>
        <v>0</v>
      </c>
      <c r="R26" s="335">
        <f>'t3'!P24</f>
        <v>0</v>
      </c>
      <c r="S26" s="335">
        <f>'t3'!R24</f>
        <v>0</v>
      </c>
      <c r="T26" s="335">
        <f>'t3'!D24</f>
        <v>0</v>
      </c>
      <c r="U26" s="335">
        <f>'t3'!F24</f>
        <v>0</v>
      </c>
      <c r="V26" s="335">
        <f>'t3'!H24</f>
        <v>0</v>
      </c>
      <c r="W26" s="335">
        <f>'t3'!J24</f>
        <v>0</v>
      </c>
      <c r="X26" s="335">
        <f>'t3'!L24</f>
        <v>0</v>
      </c>
      <c r="Y26" s="335">
        <f t="shared" si="0"/>
        <v>0</v>
      </c>
      <c r="Z26" s="335">
        <f>'t10'!AV24</f>
        <v>0</v>
      </c>
      <c r="AA26" s="335" t="str">
        <f t="shared" si="4"/>
        <v>OK</v>
      </c>
      <c r="AB26" s="191" t="str">
        <f t="shared" si="5"/>
        <v>OK</v>
      </c>
    </row>
    <row r="27" spans="1:28" ht="14.1" customHeight="1">
      <c r="A27" s="139" t="str">
        <f>'t1'!A25</f>
        <v>POSIZIONE ECONOMICA DI ACCESSO D1</v>
      </c>
      <c r="B27" s="186" t="str">
        <f>'t1'!B25</f>
        <v>057000</v>
      </c>
      <c r="C27" s="334">
        <f>'t1'!L25</f>
        <v>1</v>
      </c>
      <c r="D27" s="334">
        <f>'t3'!M25</f>
        <v>0</v>
      </c>
      <c r="E27" s="335">
        <f>'t3'!O25</f>
        <v>0</v>
      </c>
      <c r="F27" s="335">
        <f>'t3'!Q25</f>
        <v>0</v>
      </c>
      <c r="G27" s="335">
        <f>'t3'!C25</f>
        <v>0</v>
      </c>
      <c r="H27" s="335">
        <f>'t3'!E25</f>
        <v>0</v>
      </c>
      <c r="I27" s="335">
        <f>'t3'!G25</f>
        <v>0</v>
      </c>
      <c r="J27" s="335">
        <f>'t3'!I25</f>
        <v>0</v>
      </c>
      <c r="K27" s="335">
        <f>'t3'!K25</f>
        <v>0</v>
      </c>
      <c r="L27" s="335">
        <f t="shared" si="1"/>
        <v>1</v>
      </c>
      <c r="M27" s="335">
        <f>'t10'!AU25</f>
        <v>0</v>
      </c>
      <c r="N27" s="335" t="str">
        <f t="shared" si="2"/>
        <v>OK</v>
      </c>
      <c r="O27" s="103" t="str">
        <f t="shared" si="3"/>
        <v>ERRORE</v>
      </c>
      <c r="P27" s="334">
        <f>'t1'!M25</f>
        <v>0</v>
      </c>
      <c r="Q27" s="334">
        <f>'t3'!N25</f>
        <v>0</v>
      </c>
      <c r="R27" s="335">
        <f>'t3'!P25</f>
        <v>0</v>
      </c>
      <c r="S27" s="335">
        <f>'t3'!R25</f>
        <v>0</v>
      </c>
      <c r="T27" s="335">
        <f>'t3'!D25</f>
        <v>0</v>
      </c>
      <c r="U27" s="335">
        <f>'t3'!F25</f>
        <v>0</v>
      </c>
      <c r="V27" s="335">
        <f>'t3'!H25</f>
        <v>0</v>
      </c>
      <c r="W27" s="335">
        <f>'t3'!J25</f>
        <v>0</v>
      </c>
      <c r="X27" s="335">
        <f>'t3'!L25</f>
        <v>0</v>
      </c>
      <c r="Y27" s="335">
        <f t="shared" si="0"/>
        <v>0</v>
      </c>
      <c r="Z27" s="335">
        <f>'t10'!AV25</f>
        <v>0</v>
      </c>
      <c r="AA27" s="335" t="str">
        <f t="shared" si="4"/>
        <v>OK</v>
      </c>
      <c r="AB27" s="191" t="str">
        <f t="shared" si="5"/>
        <v>OK</v>
      </c>
    </row>
    <row r="28" spans="1:28" ht="14.1" customHeight="1">
      <c r="A28" s="139" t="str">
        <f>'t1'!A26</f>
        <v>POSIZIONE ECONOMICA C5</v>
      </c>
      <c r="B28" s="186" t="str">
        <f>'t1'!B26</f>
        <v>046000</v>
      </c>
      <c r="C28" s="334">
        <f>'t1'!L26</f>
        <v>0</v>
      </c>
      <c r="D28" s="334">
        <f>'t3'!M26</f>
        <v>0</v>
      </c>
      <c r="E28" s="335">
        <f>'t3'!O26</f>
        <v>0</v>
      </c>
      <c r="F28" s="335">
        <f>'t3'!Q26</f>
        <v>0</v>
      </c>
      <c r="G28" s="335">
        <f>'t3'!C26</f>
        <v>0</v>
      </c>
      <c r="H28" s="335">
        <f>'t3'!E26</f>
        <v>0</v>
      </c>
      <c r="I28" s="335">
        <f>'t3'!G26</f>
        <v>0</v>
      </c>
      <c r="J28" s="335">
        <f>'t3'!I26</f>
        <v>0</v>
      </c>
      <c r="K28" s="335">
        <f>'t3'!K26</f>
        <v>0</v>
      </c>
      <c r="L28" s="335">
        <f t="shared" si="1"/>
        <v>0</v>
      </c>
      <c r="M28" s="335">
        <f>'t10'!AU26</f>
        <v>0</v>
      </c>
      <c r="N28" s="335" t="str">
        <f t="shared" si="2"/>
        <v>OK</v>
      </c>
      <c r="O28" s="103" t="str">
        <f t="shared" si="3"/>
        <v>OK</v>
      </c>
      <c r="P28" s="334">
        <f>'t1'!M26</f>
        <v>0</v>
      </c>
      <c r="Q28" s="334">
        <f>'t3'!N26</f>
        <v>0</v>
      </c>
      <c r="R28" s="335">
        <f>'t3'!P26</f>
        <v>0</v>
      </c>
      <c r="S28" s="335">
        <f>'t3'!R26</f>
        <v>0</v>
      </c>
      <c r="T28" s="335">
        <f>'t3'!D26</f>
        <v>0</v>
      </c>
      <c r="U28" s="335">
        <f>'t3'!F26</f>
        <v>0</v>
      </c>
      <c r="V28" s="335">
        <f>'t3'!H26</f>
        <v>0</v>
      </c>
      <c r="W28" s="335">
        <f>'t3'!J26</f>
        <v>0</v>
      </c>
      <c r="X28" s="335">
        <f>'t3'!L26</f>
        <v>0</v>
      </c>
      <c r="Y28" s="335">
        <f t="shared" si="0"/>
        <v>0</v>
      </c>
      <c r="Z28" s="335">
        <f>'t10'!AV26</f>
        <v>0</v>
      </c>
      <c r="AA28" s="335" t="str">
        <f t="shared" si="4"/>
        <v>OK</v>
      </c>
      <c r="AB28" s="191" t="str">
        <f t="shared" si="5"/>
        <v>OK</v>
      </c>
    </row>
    <row r="29" spans="1:28" ht="14.1" customHeight="1">
      <c r="A29" s="139" t="str">
        <f>'t1'!A27</f>
        <v>POSIZIONE ECONOMICA C4</v>
      </c>
      <c r="B29" s="186" t="str">
        <f>'t1'!B27</f>
        <v>045000</v>
      </c>
      <c r="C29" s="334">
        <f>'t1'!L27</f>
        <v>0</v>
      </c>
      <c r="D29" s="334">
        <f>'t3'!M27</f>
        <v>0</v>
      </c>
      <c r="E29" s="335">
        <f>'t3'!O27</f>
        <v>0</v>
      </c>
      <c r="F29" s="335">
        <f>'t3'!Q27</f>
        <v>0</v>
      </c>
      <c r="G29" s="335">
        <f>'t3'!C27</f>
        <v>0</v>
      </c>
      <c r="H29" s="335">
        <f>'t3'!E27</f>
        <v>0</v>
      </c>
      <c r="I29" s="335">
        <f>'t3'!G27</f>
        <v>0</v>
      </c>
      <c r="J29" s="335">
        <f>'t3'!I27</f>
        <v>0</v>
      </c>
      <c r="K29" s="335">
        <f>'t3'!K27</f>
        <v>0</v>
      </c>
      <c r="L29" s="335">
        <f t="shared" si="1"/>
        <v>0</v>
      </c>
      <c r="M29" s="335">
        <f>'t10'!AU27</f>
        <v>0</v>
      </c>
      <c r="N29" s="335" t="str">
        <f t="shared" si="2"/>
        <v>OK</v>
      </c>
      <c r="O29" s="103" t="str">
        <f t="shared" si="3"/>
        <v>OK</v>
      </c>
      <c r="P29" s="334">
        <f>'t1'!M27</f>
        <v>0</v>
      </c>
      <c r="Q29" s="334">
        <f>'t3'!N27</f>
        <v>0</v>
      </c>
      <c r="R29" s="335">
        <f>'t3'!P27</f>
        <v>0</v>
      </c>
      <c r="S29" s="335">
        <f>'t3'!R27</f>
        <v>0</v>
      </c>
      <c r="T29" s="335">
        <f>'t3'!D27</f>
        <v>0</v>
      </c>
      <c r="U29" s="335">
        <f>'t3'!F27</f>
        <v>0</v>
      </c>
      <c r="V29" s="335">
        <f>'t3'!H27</f>
        <v>0</v>
      </c>
      <c r="W29" s="335">
        <f>'t3'!J27</f>
        <v>0</v>
      </c>
      <c r="X29" s="335">
        <f>'t3'!L27</f>
        <v>0</v>
      </c>
      <c r="Y29" s="335">
        <f t="shared" si="0"/>
        <v>0</v>
      </c>
      <c r="Z29" s="335">
        <f>'t10'!AV27</f>
        <v>0</v>
      </c>
      <c r="AA29" s="335" t="str">
        <f t="shared" si="4"/>
        <v>OK</v>
      </c>
      <c r="AB29" s="191" t="str">
        <f t="shared" si="5"/>
        <v>OK</v>
      </c>
    </row>
    <row r="30" spans="1:28" ht="14.1" customHeight="1">
      <c r="A30" s="139" t="str">
        <f>'t1'!A28</f>
        <v>POSIZIONE ECONOMICA C3</v>
      </c>
      <c r="B30" s="186" t="str">
        <f>'t1'!B28</f>
        <v>043000</v>
      </c>
      <c r="C30" s="334">
        <f>'t1'!L28</f>
        <v>0</v>
      </c>
      <c r="D30" s="334">
        <f>'t3'!M28</f>
        <v>0</v>
      </c>
      <c r="E30" s="335">
        <f>'t3'!O28</f>
        <v>0</v>
      </c>
      <c r="F30" s="335">
        <f>'t3'!Q28</f>
        <v>0</v>
      </c>
      <c r="G30" s="335">
        <f>'t3'!C28</f>
        <v>0</v>
      </c>
      <c r="H30" s="335">
        <f>'t3'!E28</f>
        <v>0</v>
      </c>
      <c r="I30" s="335">
        <f>'t3'!G28</f>
        <v>0</v>
      </c>
      <c r="J30" s="335">
        <f>'t3'!I28</f>
        <v>0</v>
      </c>
      <c r="K30" s="335">
        <f>'t3'!K28</f>
        <v>0</v>
      </c>
      <c r="L30" s="335">
        <f t="shared" si="1"/>
        <v>0</v>
      </c>
      <c r="M30" s="335">
        <f>'t10'!AU28</f>
        <v>0</v>
      </c>
      <c r="N30" s="335" t="str">
        <f t="shared" si="2"/>
        <v>OK</v>
      </c>
      <c r="O30" s="103" t="str">
        <f t="shared" si="3"/>
        <v>OK</v>
      </c>
      <c r="P30" s="334">
        <f>'t1'!M28</f>
        <v>0</v>
      </c>
      <c r="Q30" s="334">
        <f>'t3'!N28</f>
        <v>0</v>
      </c>
      <c r="R30" s="335">
        <f>'t3'!P28</f>
        <v>0</v>
      </c>
      <c r="S30" s="335">
        <f>'t3'!R28</f>
        <v>0</v>
      </c>
      <c r="T30" s="335">
        <f>'t3'!D28</f>
        <v>0</v>
      </c>
      <c r="U30" s="335">
        <f>'t3'!F28</f>
        <v>0</v>
      </c>
      <c r="V30" s="335">
        <f>'t3'!H28</f>
        <v>0</v>
      </c>
      <c r="W30" s="335">
        <f>'t3'!J28</f>
        <v>0</v>
      </c>
      <c r="X30" s="335">
        <f>'t3'!L28</f>
        <v>0</v>
      </c>
      <c r="Y30" s="335">
        <f t="shared" si="0"/>
        <v>0</v>
      </c>
      <c r="Z30" s="335">
        <f>'t10'!AV28</f>
        <v>0</v>
      </c>
      <c r="AA30" s="335" t="str">
        <f t="shared" si="4"/>
        <v>OK</v>
      </c>
      <c r="AB30" s="191" t="str">
        <f t="shared" si="5"/>
        <v>OK</v>
      </c>
    </row>
    <row r="31" spans="1:28" ht="14.1" customHeight="1">
      <c r="A31" s="139" t="str">
        <f>'t1'!A29</f>
        <v>POSIZIONE ECONOMICA C2</v>
      </c>
      <c r="B31" s="186" t="str">
        <f>'t1'!B29</f>
        <v>042000</v>
      </c>
      <c r="C31" s="334">
        <f>'t1'!L29</f>
        <v>0</v>
      </c>
      <c r="D31" s="334">
        <f>'t3'!M29</f>
        <v>0</v>
      </c>
      <c r="E31" s="335">
        <f>'t3'!O29</f>
        <v>0</v>
      </c>
      <c r="F31" s="335">
        <f>'t3'!Q29</f>
        <v>0</v>
      </c>
      <c r="G31" s="335">
        <f>'t3'!C29</f>
        <v>0</v>
      </c>
      <c r="H31" s="335">
        <f>'t3'!E29</f>
        <v>0</v>
      </c>
      <c r="I31" s="335">
        <f>'t3'!G29</f>
        <v>0</v>
      </c>
      <c r="J31" s="335">
        <f>'t3'!I29</f>
        <v>0</v>
      </c>
      <c r="K31" s="335">
        <f>'t3'!K29</f>
        <v>0</v>
      </c>
      <c r="L31" s="335">
        <f t="shared" si="1"/>
        <v>0</v>
      </c>
      <c r="M31" s="335">
        <f>'t10'!AU29</f>
        <v>0</v>
      </c>
      <c r="N31" s="335" t="str">
        <f t="shared" si="2"/>
        <v>OK</v>
      </c>
      <c r="O31" s="103" t="str">
        <f t="shared" si="3"/>
        <v>OK</v>
      </c>
      <c r="P31" s="334">
        <f>'t1'!M29</f>
        <v>1</v>
      </c>
      <c r="Q31" s="334">
        <f>'t3'!N29</f>
        <v>0</v>
      </c>
      <c r="R31" s="335">
        <f>'t3'!P29</f>
        <v>0</v>
      </c>
      <c r="S31" s="335">
        <f>'t3'!R29</f>
        <v>0</v>
      </c>
      <c r="T31" s="335">
        <f>'t3'!D29</f>
        <v>0</v>
      </c>
      <c r="U31" s="335">
        <f>'t3'!F29</f>
        <v>0</v>
      </c>
      <c r="V31" s="335">
        <f>'t3'!H29</f>
        <v>0</v>
      </c>
      <c r="W31" s="335">
        <f>'t3'!J29</f>
        <v>0</v>
      </c>
      <c r="X31" s="335">
        <f>'t3'!L29</f>
        <v>0</v>
      </c>
      <c r="Y31" s="335">
        <f t="shared" si="0"/>
        <v>1</v>
      </c>
      <c r="Z31" s="335">
        <f>'t10'!AV29</f>
        <v>0</v>
      </c>
      <c r="AA31" s="335" t="str">
        <f t="shared" si="4"/>
        <v>OK</v>
      </c>
      <c r="AB31" s="191" t="str">
        <f t="shared" si="5"/>
        <v>ERRORE</v>
      </c>
    </row>
    <row r="32" spans="1:28" ht="14.1" customHeight="1">
      <c r="A32" s="139" t="str">
        <f>'t1'!A30</f>
        <v>POSIZIONE ECONOMICA DI ACCESSO C1</v>
      </c>
      <c r="B32" s="186" t="str">
        <f>'t1'!B30</f>
        <v>056000</v>
      </c>
      <c r="C32" s="334">
        <f>'t1'!L30</f>
        <v>0</v>
      </c>
      <c r="D32" s="334">
        <f>'t3'!M30</f>
        <v>0</v>
      </c>
      <c r="E32" s="335">
        <f>'t3'!O30</f>
        <v>0</v>
      </c>
      <c r="F32" s="335">
        <f>'t3'!Q30</f>
        <v>0</v>
      </c>
      <c r="G32" s="335">
        <f>'t3'!C30</f>
        <v>0</v>
      </c>
      <c r="H32" s="335">
        <f>'t3'!E30</f>
        <v>0</v>
      </c>
      <c r="I32" s="335">
        <f>'t3'!G30</f>
        <v>0</v>
      </c>
      <c r="J32" s="335">
        <f>'t3'!I30</f>
        <v>0</v>
      </c>
      <c r="K32" s="335">
        <f>'t3'!K30</f>
        <v>0</v>
      </c>
      <c r="L32" s="335">
        <f t="shared" si="1"/>
        <v>0</v>
      </c>
      <c r="M32" s="335">
        <f>'t10'!AU30</f>
        <v>0</v>
      </c>
      <c r="N32" s="335" t="str">
        <f t="shared" si="2"/>
        <v>OK</v>
      </c>
      <c r="O32" s="103" t="str">
        <f t="shared" si="3"/>
        <v>OK</v>
      </c>
      <c r="P32" s="334">
        <f>'t1'!M30</f>
        <v>2</v>
      </c>
      <c r="Q32" s="334">
        <f>'t3'!N30</f>
        <v>0</v>
      </c>
      <c r="R32" s="335">
        <f>'t3'!P30</f>
        <v>0</v>
      </c>
      <c r="S32" s="335">
        <f>'t3'!R30</f>
        <v>0</v>
      </c>
      <c r="T32" s="335">
        <f>'t3'!D30</f>
        <v>1</v>
      </c>
      <c r="U32" s="335">
        <f>'t3'!F30</f>
        <v>0</v>
      </c>
      <c r="V32" s="335">
        <f>'t3'!H30</f>
        <v>0</v>
      </c>
      <c r="W32" s="335">
        <f>'t3'!J30</f>
        <v>0</v>
      </c>
      <c r="X32" s="335">
        <f>'t3'!L30</f>
        <v>0</v>
      </c>
      <c r="Y32" s="335">
        <f t="shared" si="0"/>
        <v>1</v>
      </c>
      <c r="Z32" s="335">
        <f>'t10'!AV30</f>
        <v>0</v>
      </c>
      <c r="AA32" s="335" t="str">
        <f t="shared" si="4"/>
        <v>OK</v>
      </c>
      <c r="AB32" s="191" t="str">
        <f t="shared" si="5"/>
        <v>ERRORE</v>
      </c>
    </row>
    <row r="33" spans="1:28" ht="14.1" customHeight="1">
      <c r="A33" s="139" t="str">
        <f>'t1'!A31</f>
        <v>POSIZ. ECON. B7 - PROFILO ACCESSO B3</v>
      </c>
      <c r="B33" s="186" t="str">
        <f>'t1'!B31</f>
        <v>0B7A00</v>
      </c>
      <c r="C33" s="334">
        <f>'t1'!L31</f>
        <v>0</v>
      </c>
      <c r="D33" s="334">
        <f>'t3'!M31</f>
        <v>0</v>
      </c>
      <c r="E33" s="335">
        <f>'t3'!O31</f>
        <v>0</v>
      </c>
      <c r="F33" s="335">
        <f>'t3'!Q31</f>
        <v>0</v>
      </c>
      <c r="G33" s="335">
        <f>'t3'!C31</f>
        <v>0</v>
      </c>
      <c r="H33" s="335">
        <f>'t3'!E31</f>
        <v>0</v>
      </c>
      <c r="I33" s="335">
        <f>'t3'!G31</f>
        <v>0</v>
      </c>
      <c r="J33" s="335">
        <f>'t3'!I31</f>
        <v>0</v>
      </c>
      <c r="K33" s="335">
        <f>'t3'!K31</f>
        <v>0</v>
      </c>
      <c r="L33" s="335">
        <f t="shared" si="1"/>
        <v>0</v>
      </c>
      <c r="M33" s="335">
        <f>'t10'!AU31</f>
        <v>0</v>
      </c>
      <c r="N33" s="335" t="str">
        <f t="shared" si="2"/>
        <v>OK</v>
      </c>
      <c r="O33" s="103" t="str">
        <f t="shared" si="3"/>
        <v>OK</v>
      </c>
      <c r="P33" s="334">
        <f>'t1'!M31</f>
        <v>0</v>
      </c>
      <c r="Q33" s="334">
        <f>'t3'!N31</f>
        <v>0</v>
      </c>
      <c r="R33" s="335">
        <f>'t3'!P31</f>
        <v>0</v>
      </c>
      <c r="S33" s="335">
        <f>'t3'!R31</f>
        <v>0</v>
      </c>
      <c r="T33" s="335">
        <f>'t3'!D31</f>
        <v>0</v>
      </c>
      <c r="U33" s="335">
        <f>'t3'!F31</f>
        <v>0</v>
      </c>
      <c r="V33" s="335">
        <f>'t3'!H31</f>
        <v>0</v>
      </c>
      <c r="W33" s="335">
        <f>'t3'!J31</f>
        <v>0</v>
      </c>
      <c r="X33" s="335">
        <f>'t3'!L31</f>
        <v>0</v>
      </c>
      <c r="Y33" s="335">
        <f t="shared" si="0"/>
        <v>0</v>
      </c>
      <c r="Z33" s="335">
        <f>'t10'!AV31</f>
        <v>0</v>
      </c>
      <c r="AA33" s="335" t="str">
        <f t="shared" si="4"/>
        <v>OK</v>
      </c>
      <c r="AB33" s="191" t="str">
        <f t="shared" si="5"/>
        <v>OK</v>
      </c>
    </row>
    <row r="34" spans="1:28" ht="14.1" customHeight="1">
      <c r="A34" s="139" t="str">
        <f>'t1'!A32</f>
        <v>POSIZ. ECON. B7 - PROFILO  ACCESSO B1</v>
      </c>
      <c r="B34" s="186" t="str">
        <f>'t1'!B32</f>
        <v>0B7000</v>
      </c>
      <c r="C34" s="334">
        <f>'t1'!L32</f>
        <v>0</v>
      </c>
      <c r="D34" s="334">
        <f>'t3'!M32</f>
        <v>0</v>
      </c>
      <c r="E34" s="335">
        <f>'t3'!O32</f>
        <v>0</v>
      </c>
      <c r="F34" s="335">
        <f>'t3'!Q32</f>
        <v>0</v>
      </c>
      <c r="G34" s="335">
        <f>'t3'!C32</f>
        <v>0</v>
      </c>
      <c r="H34" s="335">
        <f>'t3'!E32</f>
        <v>0</v>
      </c>
      <c r="I34" s="335">
        <f>'t3'!G32</f>
        <v>0</v>
      </c>
      <c r="J34" s="335">
        <f>'t3'!I32</f>
        <v>0</v>
      </c>
      <c r="K34" s="335">
        <f>'t3'!K32</f>
        <v>0</v>
      </c>
      <c r="L34" s="335">
        <f t="shared" si="1"/>
        <v>0</v>
      </c>
      <c r="M34" s="335">
        <f>'t10'!AU32</f>
        <v>0</v>
      </c>
      <c r="N34" s="335" t="str">
        <f t="shared" si="2"/>
        <v>OK</v>
      </c>
      <c r="O34" s="103" t="str">
        <f t="shared" si="3"/>
        <v>OK</v>
      </c>
      <c r="P34" s="334">
        <f>'t1'!M32</f>
        <v>0</v>
      </c>
      <c r="Q34" s="334">
        <f>'t3'!N32</f>
        <v>0</v>
      </c>
      <c r="R34" s="335">
        <f>'t3'!P32</f>
        <v>0</v>
      </c>
      <c r="S34" s="335">
        <f>'t3'!R32</f>
        <v>0</v>
      </c>
      <c r="T34" s="335">
        <f>'t3'!D32</f>
        <v>0</v>
      </c>
      <c r="U34" s="335">
        <f>'t3'!F32</f>
        <v>0</v>
      </c>
      <c r="V34" s="335">
        <f>'t3'!H32</f>
        <v>0</v>
      </c>
      <c r="W34" s="335">
        <f>'t3'!J32</f>
        <v>0</v>
      </c>
      <c r="X34" s="335">
        <f>'t3'!L32</f>
        <v>0</v>
      </c>
      <c r="Y34" s="335">
        <f t="shared" si="0"/>
        <v>0</v>
      </c>
      <c r="Z34" s="335">
        <f>'t10'!AV32</f>
        <v>0</v>
      </c>
      <c r="AA34" s="335" t="str">
        <f t="shared" si="4"/>
        <v>OK</v>
      </c>
      <c r="AB34" s="191" t="str">
        <f t="shared" si="5"/>
        <v>OK</v>
      </c>
    </row>
    <row r="35" spans="1:28" ht="14.1" customHeight="1">
      <c r="A35" s="139" t="str">
        <f>'t1'!A33</f>
        <v>POSIZ. ECON. B6 PROFILI ACCESSO B3</v>
      </c>
      <c r="B35" s="186" t="str">
        <f>'t1'!B33</f>
        <v>038490</v>
      </c>
      <c r="C35" s="334">
        <f>'t1'!L33</f>
        <v>0</v>
      </c>
      <c r="D35" s="334">
        <f>'t3'!M33</f>
        <v>0</v>
      </c>
      <c r="E35" s="335">
        <f>'t3'!O33</f>
        <v>0</v>
      </c>
      <c r="F35" s="335">
        <f>'t3'!Q33</f>
        <v>0</v>
      </c>
      <c r="G35" s="335">
        <f>'t3'!C33</f>
        <v>0</v>
      </c>
      <c r="H35" s="335">
        <f>'t3'!E33</f>
        <v>0</v>
      </c>
      <c r="I35" s="335">
        <f>'t3'!G33</f>
        <v>0</v>
      </c>
      <c r="J35" s="335">
        <f>'t3'!I33</f>
        <v>0</v>
      </c>
      <c r="K35" s="335">
        <f>'t3'!K33</f>
        <v>0</v>
      </c>
      <c r="L35" s="335">
        <f t="shared" si="1"/>
        <v>0</v>
      </c>
      <c r="M35" s="335">
        <f>'t10'!AU33</f>
        <v>0</v>
      </c>
      <c r="N35" s="335" t="str">
        <f t="shared" si="2"/>
        <v>OK</v>
      </c>
      <c r="O35" s="103" t="str">
        <f t="shared" si="3"/>
        <v>OK</v>
      </c>
      <c r="P35" s="334">
        <f>'t1'!M33</f>
        <v>0</v>
      </c>
      <c r="Q35" s="334">
        <f>'t3'!N33</f>
        <v>0</v>
      </c>
      <c r="R35" s="335">
        <f>'t3'!P33</f>
        <v>0</v>
      </c>
      <c r="S35" s="335">
        <f>'t3'!R33</f>
        <v>0</v>
      </c>
      <c r="T35" s="335">
        <f>'t3'!D33</f>
        <v>0</v>
      </c>
      <c r="U35" s="335">
        <f>'t3'!F33</f>
        <v>0</v>
      </c>
      <c r="V35" s="335">
        <f>'t3'!H33</f>
        <v>0</v>
      </c>
      <c r="W35" s="335">
        <f>'t3'!J33</f>
        <v>0</v>
      </c>
      <c r="X35" s="335">
        <f>'t3'!L33</f>
        <v>0</v>
      </c>
      <c r="Y35" s="335">
        <f t="shared" si="0"/>
        <v>0</v>
      </c>
      <c r="Z35" s="335">
        <f>'t10'!AV33</f>
        <v>0</v>
      </c>
      <c r="AA35" s="335" t="str">
        <f t="shared" si="4"/>
        <v>OK</v>
      </c>
      <c r="AB35" s="191" t="str">
        <f t="shared" si="5"/>
        <v>OK</v>
      </c>
    </row>
    <row r="36" spans="1:28" ht="14.1" customHeight="1">
      <c r="A36" s="139" t="str">
        <f>'t1'!A34</f>
        <v>POSIZ. ECON. B6 PROFILI ACCESSO B1</v>
      </c>
      <c r="B36" s="186" t="str">
        <f>'t1'!B34</f>
        <v>038491</v>
      </c>
      <c r="C36" s="334">
        <f>'t1'!L34</f>
        <v>0</v>
      </c>
      <c r="D36" s="334">
        <f>'t3'!M34</f>
        <v>0</v>
      </c>
      <c r="E36" s="335">
        <f>'t3'!O34</f>
        <v>0</v>
      </c>
      <c r="F36" s="335">
        <f>'t3'!Q34</f>
        <v>0</v>
      </c>
      <c r="G36" s="335">
        <f>'t3'!C34</f>
        <v>0</v>
      </c>
      <c r="H36" s="335">
        <f>'t3'!E34</f>
        <v>0</v>
      </c>
      <c r="I36" s="335">
        <f>'t3'!G34</f>
        <v>0</v>
      </c>
      <c r="J36" s="335">
        <f>'t3'!I34</f>
        <v>0</v>
      </c>
      <c r="K36" s="335">
        <f>'t3'!K34</f>
        <v>0</v>
      </c>
      <c r="L36" s="335">
        <f t="shared" si="1"/>
        <v>0</v>
      </c>
      <c r="M36" s="335">
        <f>'t10'!AU34</f>
        <v>0</v>
      </c>
      <c r="N36" s="335" t="str">
        <f t="shared" si="2"/>
        <v>OK</v>
      </c>
      <c r="O36" s="103" t="str">
        <f t="shared" si="3"/>
        <v>OK</v>
      </c>
      <c r="P36" s="334">
        <f>'t1'!M34</f>
        <v>0</v>
      </c>
      <c r="Q36" s="334">
        <f>'t3'!N34</f>
        <v>0</v>
      </c>
      <c r="R36" s="335">
        <f>'t3'!P34</f>
        <v>0</v>
      </c>
      <c r="S36" s="335">
        <f>'t3'!R34</f>
        <v>0</v>
      </c>
      <c r="T36" s="335">
        <f>'t3'!D34</f>
        <v>0</v>
      </c>
      <c r="U36" s="335">
        <f>'t3'!F34</f>
        <v>0</v>
      </c>
      <c r="V36" s="335">
        <f>'t3'!H34</f>
        <v>0</v>
      </c>
      <c r="W36" s="335">
        <f>'t3'!J34</f>
        <v>0</v>
      </c>
      <c r="X36" s="335">
        <f>'t3'!L34</f>
        <v>0</v>
      </c>
      <c r="Y36" s="335">
        <f t="shared" si="0"/>
        <v>0</v>
      </c>
      <c r="Z36" s="335">
        <f>'t10'!AV34</f>
        <v>0</v>
      </c>
      <c r="AA36" s="335" t="str">
        <f t="shared" si="4"/>
        <v>OK</v>
      </c>
      <c r="AB36" s="191" t="str">
        <f t="shared" si="5"/>
        <v>OK</v>
      </c>
    </row>
    <row r="37" spans="1:28" ht="14.1" customHeight="1">
      <c r="A37" s="139" t="str">
        <f>'t1'!A35</f>
        <v>POSIZ. ECON. B5 PROFILI ACCESSO B3</v>
      </c>
      <c r="B37" s="186" t="str">
        <f>'t1'!B35</f>
        <v>037492</v>
      </c>
      <c r="C37" s="334">
        <f>'t1'!L35</f>
        <v>0</v>
      </c>
      <c r="D37" s="334">
        <f>'t3'!M35</f>
        <v>0</v>
      </c>
      <c r="E37" s="335">
        <f>'t3'!O35</f>
        <v>0</v>
      </c>
      <c r="F37" s="335">
        <f>'t3'!Q35</f>
        <v>0</v>
      </c>
      <c r="G37" s="335">
        <f>'t3'!C35</f>
        <v>0</v>
      </c>
      <c r="H37" s="335">
        <f>'t3'!E35</f>
        <v>0</v>
      </c>
      <c r="I37" s="335">
        <f>'t3'!G35</f>
        <v>0</v>
      </c>
      <c r="J37" s="335">
        <f>'t3'!I35</f>
        <v>0</v>
      </c>
      <c r="K37" s="335">
        <f>'t3'!K35</f>
        <v>0</v>
      </c>
      <c r="L37" s="335">
        <f t="shared" si="1"/>
        <v>0</v>
      </c>
      <c r="M37" s="335">
        <f>'t10'!AU35</f>
        <v>0</v>
      </c>
      <c r="N37" s="335" t="str">
        <f t="shared" si="2"/>
        <v>OK</v>
      </c>
      <c r="O37" s="103" t="str">
        <f t="shared" si="3"/>
        <v>OK</v>
      </c>
      <c r="P37" s="334">
        <f>'t1'!M35</f>
        <v>0</v>
      </c>
      <c r="Q37" s="334">
        <f>'t3'!N35</f>
        <v>0</v>
      </c>
      <c r="R37" s="335">
        <f>'t3'!P35</f>
        <v>0</v>
      </c>
      <c r="S37" s="335">
        <f>'t3'!R35</f>
        <v>0</v>
      </c>
      <c r="T37" s="335">
        <f>'t3'!D35</f>
        <v>0</v>
      </c>
      <c r="U37" s="335">
        <f>'t3'!F35</f>
        <v>0</v>
      </c>
      <c r="V37" s="335">
        <f>'t3'!H35</f>
        <v>0</v>
      </c>
      <c r="W37" s="335">
        <f>'t3'!J35</f>
        <v>0</v>
      </c>
      <c r="X37" s="335">
        <f>'t3'!L35</f>
        <v>0</v>
      </c>
      <c r="Y37" s="335">
        <f t="shared" si="0"/>
        <v>0</v>
      </c>
      <c r="Z37" s="335">
        <f>'t10'!AV35</f>
        <v>0</v>
      </c>
      <c r="AA37" s="335" t="str">
        <f t="shared" si="4"/>
        <v>OK</v>
      </c>
      <c r="AB37" s="191" t="str">
        <f t="shared" si="5"/>
        <v>OK</v>
      </c>
    </row>
    <row r="38" spans="1:28" ht="14.1" customHeight="1">
      <c r="A38" s="139" t="str">
        <f>'t1'!A36</f>
        <v>POSIZ. ECON. B5 PROFILI ACCESSO B1</v>
      </c>
      <c r="B38" s="186" t="str">
        <f>'t1'!B36</f>
        <v>037493</v>
      </c>
      <c r="C38" s="334">
        <f>'t1'!L36</f>
        <v>0</v>
      </c>
      <c r="D38" s="334">
        <f>'t3'!M36</f>
        <v>0</v>
      </c>
      <c r="E38" s="335">
        <f>'t3'!O36</f>
        <v>0</v>
      </c>
      <c r="F38" s="335">
        <f>'t3'!Q36</f>
        <v>0</v>
      </c>
      <c r="G38" s="335">
        <f>'t3'!C36</f>
        <v>0</v>
      </c>
      <c r="H38" s="335">
        <f>'t3'!E36</f>
        <v>0</v>
      </c>
      <c r="I38" s="335">
        <f>'t3'!G36</f>
        <v>0</v>
      </c>
      <c r="J38" s="335">
        <f>'t3'!I36</f>
        <v>0</v>
      </c>
      <c r="K38" s="335">
        <f>'t3'!K36</f>
        <v>0</v>
      </c>
      <c r="L38" s="335">
        <f t="shared" si="1"/>
        <v>0</v>
      </c>
      <c r="M38" s="335">
        <f>'t10'!AU36</f>
        <v>0</v>
      </c>
      <c r="N38" s="335" t="str">
        <f t="shared" si="2"/>
        <v>OK</v>
      </c>
      <c r="O38" s="103" t="str">
        <f t="shared" si="3"/>
        <v>OK</v>
      </c>
      <c r="P38" s="334">
        <f>'t1'!M36</f>
        <v>0</v>
      </c>
      <c r="Q38" s="334">
        <f>'t3'!N36</f>
        <v>0</v>
      </c>
      <c r="R38" s="335">
        <f>'t3'!P36</f>
        <v>0</v>
      </c>
      <c r="S38" s="335">
        <f>'t3'!R36</f>
        <v>0</v>
      </c>
      <c r="T38" s="335">
        <f>'t3'!D36</f>
        <v>0</v>
      </c>
      <c r="U38" s="335">
        <f>'t3'!F36</f>
        <v>0</v>
      </c>
      <c r="V38" s="335">
        <f>'t3'!H36</f>
        <v>0</v>
      </c>
      <c r="W38" s="335">
        <f>'t3'!J36</f>
        <v>0</v>
      </c>
      <c r="X38" s="335">
        <f>'t3'!L36</f>
        <v>0</v>
      </c>
      <c r="Y38" s="335">
        <f t="shared" si="0"/>
        <v>0</v>
      </c>
      <c r="Z38" s="335">
        <f>'t10'!AV36</f>
        <v>0</v>
      </c>
      <c r="AA38" s="335" t="str">
        <f t="shared" si="4"/>
        <v>OK</v>
      </c>
      <c r="AB38" s="191" t="str">
        <f t="shared" si="5"/>
        <v>OK</v>
      </c>
    </row>
    <row r="39" spans="1:28" ht="14.1" customHeight="1">
      <c r="A39" s="139" t="str">
        <f>'t1'!A37</f>
        <v>POSIZ. ECON. B4 PROFILI ACCESSO B3</v>
      </c>
      <c r="B39" s="186" t="str">
        <f>'t1'!B37</f>
        <v>036494</v>
      </c>
      <c r="C39" s="334">
        <f>'t1'!L37</f>
        <v>0</v>
      </c>
      <c r="D39" s="334">
        <f>'t3'!M37</f>
        <v>0</v>
      </c>
      <c r="E39" s="335">
        <f>'t3'!O37</f>
        <v>0</v>
      </c>
      <c r="F39" s="335">
        <f>'t3'!Q37</f>
        <v>0</v>
      </c>
      <c r="G39" s="335">
        <f>'t3'!C37</f>
        <v>0</v>
      </c>
      <c r="H39" s="335">
        <f>'t3'!E37</f>
        <v>0</v>
      </c>
      <c r="I39" s="335">
        <f>'t3'!G37</f>
        <v>0</v>
      </c>
      <c r="J39" s="335">
        <f>'t3'!I37</f>
        <v>0</v>
      </c>
      <c r="K39" s="335">
        <f>'t3'!K37</f>
        <v>0</v>
      </c>
      <c r="L39" s="335">
        <f t="shared" si="1"/>
        <v>0</v>
      </c>
      <c r="M39" s="335">
        <f>'t10'!AU37</f>
        <v>0</v>
      </c>
      <c r="N39" s="335" t="str">
        <f t="shared" si="2"/>
        <v>OK</v>
      </c>
      <c r="O39" s="103" t="str">
        <f t="shared" si="3"/>
        <v>OK</v>
      </c>
      <c r="P39" s="334">
        <f>'t1'!M37</f>
        <v>0</v>
      </c>
      <c r="Q39" s="334">
        <f>'t3'!N37</f>
        <v>0</v>
      </c>
      <c r="R39" s="335">
        <f>'t3'!P37</f>
        <v>0</v>
      </c>
      <c r="S39" s="335">
        <f>'t3'!R37</f>
        <v>0</v>
      </c>
      <c r="T39" s="335">
        <f>'t3'!D37</f>
        <v>0</v>
      </c>
      <c r="U39" s="335">
        <f>'t3'!F37</f>
        <v>0</v>
      </c>
      <c r="V39" s="335">
        <f>'t3'!H37</f>
        <v>0</v>
      </c>
      <c r="W39" s="335">
        <f>'t3'!J37</f>
        <v>0</v>
      </c>
      <c r="X39" s="335">
        <f>'t3'!L37</f>
        <v>0</v>
      </c>
      <c r="Y39" s="335">
        <f t="shared" si="0"/>
        <v>0</v>
      </c>
      <c r="Z39" s="335">
        <f>'t10'!AV37</f>
        <v>0</v>
      </c>
      <c r="AA39" s="335" t="str">
        <f t="shared" si="4"/>
        <v>OK</v>
      </c>
      <c r="AB39" s="191" t="str">
        <f t="shared" si="5"/>
        <v>OK</v>
      </c>
    </row>
    <row r="40" spans="1:28" ht="14.1" customHeight="1">
      <c r="A40" s="139" t="str">
        <f>'t1'!A38</f>
        <v>POSIZ. ECON. B4 PROFILI ACCESSO B1</v>
      </c>
      <c r="B40" s="186" t="str">
        <f>'t1'!B38</f>
        <v>036495</v>
      </c>
      <c r="C40" s="334">
        <f>'t1'!L38</f>
        <v>0</v>
      </c>
      <c r="D40" s="334">
        <f>'t3'!M38</f>
        <v>0</v>
      </c>
      <c r="E40" s="335">
        <f>'t3'!O38</f>
        <v>0</v>
      </c>
      <c r="F40" s="335">
        <f>'t3'!Q38</f>
        <v>0</v>
      </c>
      <c r="G40" s="335">
        <f>'t3'!C38</f>
        <v>0</v>
      </c>
      <c r="H40" s="335">
        <f>'t3'!E38</f>
        <v>0</v>
      </c>
      <c r="I40" s="335">
        <f>'t3'!G38</f>
        <v>0</v>
      </c>
      <c r="J40" s="335">
        <f>'t3'!I38</f>
        <v>0</v>
      </c>
      <c r="K40" s="335">
        <f>'t3'!K38</f>
        <v>0</v>
      </c>
      <c r="L40" s="335">
        <f t="shared" si="1"/>
        <v>0</v>
      </c>
      <c r="M40" s="335">
        <f>'t10'!AU38</f>
        <v>0</v>
      </c>
      <c r="N40" s="335" t="str">
        <f t="shared" si="2"/>
        <v>OK</v>
      </c>
      <c r="O40" s="103" t="str">
        <f t="shared" si="3"/>
        <v>OK</v>
      </c>
      <c r="P40" s="334">
        <f>'t1'!M38</f>
        <v>0</v>
      </c>
      <c r="Q40" s="334">
        <f>'t3'!N38</f>
        <v>0</v>
      </c>
      <c r="R40" s="335">
        <f>'t3'!P38</f>
        <v>0</v>
      </c>
      <c r="S40" s="335">
        <f>'t3'!R38</f>
        <v>0</v>
      </c>
      <c r="T40" s="335">
        <f>'t3'!D38</f>
        <v>0</v>
      </c>
      <c r="U40" s="335">
        <f>'t3'!F38</f>
        <v>0</v>
      </c>
      <c r="V40" s="335">
        <f>'t3'!H38</f>
        <v>0</v>
      </c>
      <c r="W40" s="335">
        <f>'t3'!J38</f>
        <v>0</v>
      </c>
      <c r="X40" s="335">
        <f>'t3'!L38</f>
        <v>0</v>
      </c>
      <c r="Y40" s="335">
        <f t="shared" si="0"/>
        <v>0</v>
      </c>
      <c r="Z40" s="335">
        <f>'t10'!AV38</f>
        <v>0</v>
      </c>
      <c r="AA40" s="335" t="str">
        <f t="shared" si="4"/>
        <v>OK</v>
      </c>
      <c r="AB40" s="191" t="str">
        <f t="shared" si="5"/>
        <v>OK</v>
      </c>
    </row>
    <row r="41" spans="1:28" ht="14.1" customHeight="1">
      <c r="A41" s="139" t="str">
        <f>'t1'!A39</f>
        <v>POSIZIONE ECONOMICA DI ACCESSO B3</v>
      </c>
      <c r="B41" s="186" t="str">
        <f>'t1'!B39</f>
        <v>055000</v>
      </c>
      <c r="C41" s="334">
        <f>'t1'!L39</f>
        <v>0</v>
      </c>
      <c r="D41" s="334">
        <f>'t3'!M39</f>
        <v>0</v>
      </c>
      <c r="E41" s="335">
        <f>'t3'!O39</f>
        <v>0</v>
      </c>
      <c r="F41" s="335">
        <f>'t3'!Q39</f>
        <v>0</v>
      </c>
      <c r="G41" s="335">
        <f>'t3'!C39</f>
        <v>0</v>
      </c>
      <c r="H41" s="335">
        <f>'t3'!E39</f>
        <v>0</v>
      </c>
      <c r="I41" s="335">
        <f>'t3'!G39</f>
        <v>0</v>
      </c>
      <c r="J41" s="335">
        <f>'t3'!I39</f>
        <v>0</v>
      </c>
      <c r="K41" s="335">
        <f>'t3'!K39</f>
        <v>0</v>
      </c>
      <c r="L41" s="335">
        <f t="shared" si="1"/>
        <v>0</v>
      </c>
      <c r="M41" s="335">
        <f>'t10'!AU39</f>
        <v>0</v>
      </c>
      <c r="N41" s="335" t="str">
        <f t="shared" si="2"/>
        <v>OK</v>
      </c>
      <c r="O41" s="103" t="str">
        <f t="shared" si="3"/>
        <v>OK</v>
      </c>
      <c r="P41" s="334">
        <f>'t1'!M39</f>
        <v>0</v>
      </c>
      <c r="Q41" s="334">
        <f>'t3'!N39</f>
        <v>0</v>
      </c>
      <c r="R41" s="335">
        <f>'t3'!P39</f>
        <v>0</v>
      </c>
      <c r="S41" s="335">
        <f>'t3'!R39</f>
        <v>0</v>
      </c>
      <c r="T41" s="335">
        <f>'t3'!D39</f>
        <v>0</v>
      </c>
      <c r="U41" s="335">
        <f>'t3'!F39</f>
        <v>0</v>
      </c>
      <c r="V41" s="335">
        <f>'t3'!H39</f>
        <v>0</v>
      </c>
      <c r="W41" s="335">
        <f>'t3'!J39</f>
        <v>0</v>
      </c>
      <c r="X41" s="335">
        <f>'t3'!L39</f>
        <v>0</v>
      </c>
      <c r="Y41" s="335">
        <f t="shared" si="0"/>
        <v>0</v>
      </c>
      <c r="Z41" s="335">
        <f>'t10'!AV39</f>
        <v>0</v>
      </c>
      <c r="AA41" s="335" t="str">
        <f t="shared" si="4"/>
        <v>OK</v>
      </c>
      <c r="AB41" s="191" t="str">
        <f t="shared" si="5"/>
        <v>OK</v>
      </c>
    </row>
    <row r="42" spans="1:28" ht="14.1" customHeight="1">
      <c r="A42" s="139" t="str">
        <f>'t1'!A40</f>
        <v>POSIZIONE ECONOMICA B3</v>
      </c>
      <c r="B42" s="186" t="str">
        <f>'t1'!B40</f>
        <v>034000</v>
      </c>
      <c r="C42" s="334">
        <f>'t1'!L40</f>
        <v>0</v>
      </c>
      <c r="D42" s="334">
        <f>'t3'!M40</f>
        <v>0</v>
      </c>
      <c r="E42" s="335">
        <f>'t3'!O40</f>
        <v>0</v>
      </c>
      <c r="F42" s="335">
        <f>'t3'!Q40</f>
        <v>0</v>
      </c>
      <c r="G42" s="335">
        <f>'t3'!C40</f>
        <v>0</v>
      </c>
      <c r="H42" s="335">
        <f>'t3'!E40</f>
        <v>0</v>
      </c>
      <c r="I42" s="335">
        <f>'t3'!G40</f>
        <v>0</v>
      </c>
      <c r="J42" s="335">
        <f>'t3'!I40</f>
        <v>0</v>
      </c>
      <c r="K42" s="335">
        <f>'t3'!K40</f>
        <v>0</v>
      </c>
      <c r="L42" s="335">
        <f t="shared" si="1"/>
        <v>0</v>
      </c>
      <c r="M42" s="335">
        <f>'t10'!AU40</f>
        <v>0</v>
      </c>
      <c r="N42" s="335" t="str">
        <f t="shared" si="2"/>
        <v>OK</v>
      </c>
      <c r="O42" s="103" t="str">
        <f t="shared" si="3"/>
        <v>OK</v>
      </c>
      <c r="P42" s="334">
        <f>'t1'!M40</f>
        <v>0</v>
      </c>
      <c r="Q42" s="334">
        <f>'t3'!N40</f>
        <v>0</v>
      </c>
      <c r="R42" s="335">
        <f>'t3'!P40</f>
        <v>0</v>
      </c>
      <c r="S42" s="335">
        <f>'t3'!R40</f>
        <v>0</v>
      </c>
      <c r="T42" s="335">
        <f>'t3'!D40</f>
        <v>0</v>
      </c>
      <c r="U42" s="335">
        <f>'t3'!F40</f>
        <v>0</v>
      </c>
      <c r="V42" s="335">
        <f>'t3'!H40</f>
        <v>0</v>
      </c>
      <c r="W42" s="335">
        <f>'t3'!J40</f>
        <v>0</v>
      </c>
      <c r="X42" s="335">
        <f>'t3'!L40</f>
        <v>0</v>
      </c>
      <c r="Y42" s="335">
        <f t="shared" si="0"/>
        <v>0</v>
      </c>
      <c r="Z42" s="335">
        <f>'t10'!AV40</f>
        <v>0</v>
      </c>
      <c r="AA42" s="335" t="str">
        <f t="shared" si="4"/>
        <v>OK</v>
      </c>
      <c r="AB42" s="191" t="str">
        <f t="shared" si="5"/>
        <v>OK</v>
      </c>
    </row>
    <row r="43" spans="1:28" ht="14.1" customHeight="1">
      <c r="A43" s="139" t="str">
        <f>'t1'!A41</f>
        <v>POSIZIONE ECONOMICA B2</v>
      </c>
      <c r="B43" s="186" t="str">
        <f>'t1'!B41</f>
        <v>032000</v>
      </c>
      <c r="C43" s="334">
        <f>'t1'!L41</f>
        <v>0</v>
      </c>
      <c r="D43" s="334">
        <f>'t3'!M41</f>
        <v>0</v>
      </c>
      <c r="E43" s="335">
        <f>'t3'!O41</f>
        <v>0</v>
      </c>
      <c r="F43" s="335">
        <f>'t3'!Q41</f>
        <v>0</v>
      </c>
      <c r="G43" s="335">
        <f>'t3'!C41</f>
        <v>0</v>
      </c>
      <c r="H43" s="335">
        <f>'t3'!E41</f>
        <v>0</v>
      </c>
      <c r="I43" s="335">
        <f>'t3'!G41</f>
        <v>0</v>
      </c>
      <c r="J43" s="335">
        <f>'t3'!I41</f>
        <v>0</v>
      </c>
      <c r="K43" s="335">
        <f>'t3'!K41</f>
        <v>0</v>
      </c>
      <c r="L43" s="335">
        <f t="shared" si="1"/>
        <v>0</v>
      </c>
      <c r="M43" s="335">
        <f>'t10'!AU41</f>
        <v>0</v>
      </c>
      <c r="N43" s="335" t="str">
        <f t="shared" si="2"/>
        <v>OK</v>
      </c>
      <c r="O43" s="103" t="str">
        <f t="shared" si="3"/>
        <v>OK</v>
      </c>
      <c r="P43" s="334">
        <f>'t1'!M41</f>
        <v>0</v>
      </c>
      <c r="Q43" s="334">
        <f>'t3'!N41</f>
        <v>0</v>
      </c>
      <c r="R43" s="335">
        <f>'t3'!P41</f>
        <v>0</v>
      </c>
      <c r="S43" s="335">
        <f>'t3'!R41</f>
        <v>0</v>
      </c>
      <c r="T43" s="335">
        <f>'t3'!D41</f>
        <v>0</v>
      </c>
      <c r="U43" s="335">
        <f>'t3'!F41</f>
        <v>0</v>
      </c>
      <c r="V43" s="335">
        <f>'t3'!H41</f>
        <v>0</v>
      </c>
      <c r="W43" s="335">
        <f>'t3'!J41</f>
        <v>0</v>
      </c>
      <c r="X43" s="335">
        <f>'t3'!L41</f>
        <v>0</v>
      </c>
      <c r="Y43" s="335">
        <f t="shared" si="0"/>
        <v>0</v>
      </c>
      <c r="Z43" s="335">
        <f>'t10'!AV41</f>
        <v>0</v>
      </c>
      <c r="AA43" s="335" t="str">
        <f t="shared" si="4"/>
        <v>OK</v>
      </c>
      <c r="AB43" s="191" t="str">
        <f t="shared" si="5"/>
        <v>OK</v>
      </c>
    </row>
    <row r="44" spans="1:28" ht="14.1" customHeight="1">
      <c r="A44" s="139" t="str">
        <f>'t1'!A42</f>
        <v>POSIZIONE ECONOMICA DI ACCESSO B1</v>
      </c>
      <c r="B44" s="186" t="str">
        <f>'t1'!B42</f>
        <v>054000</v>
      </c>
      <c r="C44" s="334">
        <f>'t1'!L42</f>
        <v>0</v>
      </c>
      <c r="D44" s="334">
        <f>'t3'!M42</f>
        <v>0</v>
      </c>
      <c r="E44" s="335">
        <f>'t3'!O42</f>
        <v>0</v>
      </c>
      <c r="F44" s="335">
        <f>'t3'!Q42</f>
        <v>0</v>
      </c>
      <c r="G44" s="335">
        <f>'t3'!C42</f>
        <v>0</v>
      </c>
      <c r="H44" s="335">
        <f>'t3'!E42</f>
        <v>0</v>
      </c>
      <c r="I44" s="335">
        <f>'t3'!G42</f>
        <v>0</v>
      </c>
      <c r="J44" s="335">
        <f>'t3'!I42</f>
        <v>0</v>
      </c>
      <c r="K44" s="335">
        <f>'t3'!K42</f>
        <v>0</v>
      </c>
      <c r="L44" s="335">
        <f t="shared" si="1"/>
        <v>0</v>
      </c>
      <c r="M44" s="335">
        <f>'t10'!AU42</f>
        <v>0</v>
      </c>
      <c r="N44" s="335" t="str">
        <f t="shared" si="2"/>
        <v>OK</v>
      </c>
      <c r="O44" s="103" t="str">
        <f t="shared" si="3"/>
        <v>OK</v>
      </c>
      <c r="P44" s="334">
        <f>'t1'!M42</f>
        <v>0</v>
      </c>
      <c r="Q44" s="334">
        <f>'t3'!N42</f>
        <v>0</v>
      </c>
      <c r="R44" s="335">
        <f>'t3'!P42</f>
        <v>0</v>
      </c>
      <c r="S44" s="335">
        <f>'t3'!R42</f>
        <v>0</v>
      </c>
      <c r="T44" s="335">
        <f>'t3'!D42</f>
        <v>0</v>
      </c>
      <c r="U44" s="335">
        <f>'t3'!F42</f>
        <v>0</v>
      </c>
      <c r="V44" s="335">
        <f>'t3'!H42</f>
        <v>0</v>
      </c>
      <c r="W44" s="335">
        <f>'t3'!J42</f>
        <v>0</v>
      </c>
      <c r="X44" s="335">
        <f>'t3'!L42</f>
        <v>0</v>
      </c>
      <c r="Y44" s="335">
        <f t="shared" si="0"/>
        <v>0</v>
      </c>
      <c r="Z44" s="335">
        <f>'t10'!AV42</f>
        <v>0</v>
      </c>
      <c r="AA44" s="335" t="str">
        <f t="shared" si="4"/>
        <v>OK</v>
      </c>
      <c r="AB44" s="191" t="str">
        <f t="shared" si="5"/>
        <v>OK</v>
      </c>
    </row>
    <row r="45" spans="1:28" ht="14.1" customHeight="1">
      <c r="A45" s="139" t="str">
        <f>'t1'!A43</f>
        <v>POSIZIONE ECONOMICA A5</v>
      </c>
      <c r="B45" s="186" t="str">
        <f>'t1'!B43</f>
        <v>0A5000</v>
      </c>
      <c r="C45" s="334">
        <f>'t1'!L43</f>
        <v>0</v>
      </c>
      <c r="D45" s="334">
        <f>'t3'!M43</f>
        <v>0</v>
      </c>
      <c r="E45" s="335">
        <f>'t3'!O43</f>
        <v>0</v>
      </c>
      <c r="F45" s="335">
        <f>'t3'!Q43</f>
        <v>0</v>
      </c>
      <c r="G45" s="335">
        <f>'t3'!C43</f>
        <v>0</v>
      </c>
      <c r="H45" s="335">
        <f>'t3'!E43</f>
        <v>0</v>
      </c>
      <c r="I45" s="335">
        <f>'t3'!G43</f>
        <v>0</v>
      </c>
      <c r="J45" s="335">
        <f>'t3'!I43</f>
        <v>0</v>
      </c>
      <c r="K45" s="335">
        <f>'t3'!K43</f>
        <v>0</v>
      </c>
      <c r="L45" s="335">
        <f t="shared" si="1"/>
        <v>0</v>
      </c>
      <c r="M45" s="335">
        <f>'t10'!AU43</f>
        <v>0</v>
      </c>
      <c r="N45" s="335" t="str">
        <f t="shared" si="2"/>
        <v>OK</v>
      </c>
      <c r="O45" s="103" t="str">
        <f t="shared" si="3"/>
        <v>OK</v>
      </c>
      <c r="P45" s="334">
        <f>'t1'!M43</f>
        <v>0</v>
      </c>
      <c r="Q45" s="334">
        <f>'t3'!N43</f>
        <v>0</v>
      </c>
      <c r="R45" s="335">
        <f>'t3'!P43</f>
        <v>0</v>
      </c>
      <c r="S45" s="335">
        <f>'t3'!R43</f>
        <v>0</v>
      </c>
      <c r="T45" s="335">
        <f>'t3'!D43</f>
        <v>0</v>
      </c>
      <c r="U45" s="335">
        <f>'t3'!F43</f>
        <v>0</v>
      </c>
      <c r="V45" s="335">
        <f>'t3'!H43</f>
        <v>0</v>
      </c>
      <c r="W45" s="335">
        <f>'t3'!J43</f>
        <v>0</v>
      </c>
      <c r="X45" s="335">
        <f>'t3'!L43</f>
        <v>0</v>
      </c>
      <c r="Y45" s="335">
        <f t="shared" si="0"/>
        <v>0</v>
      </c>
      <c r="Z45" s="335">
        <f>'t10'!AV43</f>
        <v>0</v>
      </c>
      <c r="AA45" s="335" t="str">
        <f t="shared" si="4"/>
        <v>OK</v>
      </c>
      <c r="AB45" s="191" t="str">
        <f t="shared" si="5"/>
        <v>OK</v>
      </c>
    </row>
    <row r="46" spans="1:28" ht="14.1" customHeight="1">
      <c r="A46" s="139" t="str">
        <f>'t1'!A44</f>
        <v>POSIZIONE ECONOMICA A4</v>
      </c>
      <c r="B46" s="186" t="str">
        <f>'t1'!B44</f>
        <v>028000</v>
      </c>
      <c r="C46" s="334">
        <f>'t1'!L44</f>
        <v>0</v>
      </c>
      <c r="D46" s="334">
        <f>'t3'!M44</f>
        <v>0</v>
      </c>
      <c r="E46" s="335">
        <f>'t3'!O44</f>
        <v>0</v>
      </c>
      <c r="F46" s="335">
        <f>'t3'!Q44</f>
        <v>0</v>
      </c>
      <c r="G46" s="335">
        <f>'t3'!C44</f>
        <v>0</v>
      </c>
      <c r="H46" s="335">
        <f>'t3'!E44</f>
        <v>0</v>
      </c>
      <c r="I46" s="335">
        <f>'t3'!G44</f>
        <v>0</v>
      </c>
      <c r="J46" s="335">
        <f>'t3'!I44</f>
        <v>0</v>
      </c>
      <c r="K46" s="335">
        <f>'t3'!K44</f>
        <v>0</v>
      </c>
      <c r="L46" s="335">
        <f t="shared" si="1"/>
        <v>0</v>
      </c>
      <c r="M46" s="335">
        <f>'t10'!AU44</f>
        <v>0</v>
      </c>
      <c r="N46" s="335" t="str">
        <f t="shared" si="2"/>
        <v>OK</v>
      </c>
      <c r="O46" s="103" t="str">
        <f t="shared" si="3"/>
        <v>OK</v>
      </c>
      <c r="P46" s="334">
        <f>'t1'!M44</f>
        <v>0</v>
      </c>
      <c r="Q46" s="334">
        <f>'t3'!N44</f>
        <v>0</v>
      </c>
      <c r="R46" s="335">
        <f>'t3'!P44</f>
        <v>0</v>
      </c>
      <c r="S46" s="335">
        <f>'t3'!R44</f>
        <v>0</v>
      </c>
      <c r="T46" s="335">
        <f>'t3'!D44</f>
        <v>0</v>
      </c>
      <c r="U46" s="335">
        <f>'t3'!F44</f>
        <v>0</v>
      </c>
      <c r="V46" s="335">
        <f>'t3'!H44</f>
        <v>0</v>
      </c>
      <c r="W46" s="335">
        <f>'t3'!J44</f>
        <v>0</v>
      </c>
      <c r="X46" s="335">
        <f>'t3'!L44</f>
        <v>0</v>
      </c>
      <c r="Y46" s="335">
        <f t="shared" si="0"/>
        <v>0</v>
      </c>
      <c r="Z46" s="335">
        <f>'t10'!AV44</f>
        <v>0</v>
      </c>
      <c r="AA46" s="335" t="str">
        <f t="shared" si="4"/>
        <v>OK</v>
      </c>
      <c r="AB46" s="191" t="str">
        <f t="shared" si="5"/>
        <v>OK</v>
      </c>
    </row>
    <row r="47" spans="1:28" ht="14.1" customHeight="1">
      <c r="A47" s="139" t="str">
        <f>'t1'!A45</f>
        <v>POSIZIONE ECONOMICA A3</v>
      </c>
      <c r="B47" s="186" t="str">
        <f>'t1'!B45</f>
        <v>027000</v>
      </c>
      <c r="C47" s="334">
        <f>'t1'!L45</f>
        <v>0</v>
      </c>
      <c r="D47" s="334">
        <f>'t3'!M45</f>
        <v>0</v>
      </c>
      <c r="E47" s="335">
        <f>'t3'!O45</f>
        <v>0</v>
      </c>
      <c r="F47" s="335">
        <f>'t3'!Q45</f>
        <v>0</v>
      </c>
      <c r="G47" s="335">
        <f>'t3'!C45</f>
        <v>0</v>
      </c>
      <c r="H47" s="335">
        <f>'t3'!E45</f>
        <v>0</v>
      </c>
      <c r="I47" s="335">
        <f>'t3'!G45</f>
        <v>0</v>
      </c>
      <c r="J47" s="335">
        <f>'t3'!I45</f>
        <v>0</v>
      </c>
      <c r="K47" s="335">
        <f>'t3'!K45</f>
        <v>0</v>
      </c>
      <c r="L47" s="335">
        <f t="shared" si="1"/>
        <v>0</v>
      </c>
      <c r="M47" s="335">
        <f>'t10'!AU45</f>
        <v>0</v>
      </c>
      <c r="N47" s="335" t="str">
        <f t="shared" si="2"/>
        <v>OK</v>
      </c>
      <c r="O47" s="103" t="str">
        <f t="shared" si="3"/>
        <v>OK</v>
      </c>
      <c r="P47" s="334">
        <f>'t1'!M45</f>
        <v>0</v>
      </c>
      <c r="Q47" s="334">
        <f>'t3'!N45</f>
        <v>0</v>
      </c>
      <c r="R47" s="335">
        <f>'t3'!P45</f>
        <v>0</v>
      </c>
      <c r="S47" s="335">
        <f>'t3'!R45</f>
        <v>0</v>
      </c>
      <c r="T47" s="335">
        <f>'t3'!D45</f>
        <v>0</v>
      </c>
      <c r="U47" s="335">
        <f>'t3'!F45</f>
        <v>0</v>
      </c>
      <c r="V47" s="335">
        <f>'t3'!H45</f>
        <v>0</v>
      </c>
      <c r="W47" s="335">
        <f>'t3'!J45</f>
        <v>0</v>
      </c>
      <c r="X47" s="335">
        <f>'t3'!L45</f>
        <v>0</v>
      </c>
      <c r="Y47" s="335">
        <f t="shared" si="0"/>
        <v>0</v>
      </c>
      <c r="Z47" s="335">
        <f>'t10'!AV45</f>
        <v>0</v>
      </c>
      <c r="AA47" s="335" t="str">
        <f t="shared" si="4"/>
        <v>OK</v>
      </c>
      <c r="AB47" s="191" t="str">
        <f t="shared" si="5"/>
        <v>OK</v>
      </c>
    </row>
    <row r="48" spans="1:28" ht="14.1" customHeight="1">
      <c r="A48" s="139" t="str">
        <f>'t1'!A46</f>
        <v>POSIZIONE ECONOMICA A2</v>
      </c>
      <c r="B48" s="186" t="str">
        <f>'t1'!B46</f>
        <v>025000</v>
      </c>
      <c r="C48" s="334">
        <f>'t1'!L46</f>
        <v>0</v>
      </c>
      <c r="D48" s="334">
        <f>'t3'!M46</f>
        <v>0</v>
      </c>
      <c r="E48" s="335">
        <f>'t3'!O46</f>
        <v>0</v>
      </c>
      <c r="F48" s="335">
        <f>'t3'!Q46</f>
        <v>0</v>
      </c>
      <c r="G48" s="335">
        <f>'t3'!C46</f>
        <v>0</v>
      </c>
      <c r="H48" s="335">
        <f>'t3'!E46</f>
        <v>0</v>
      </c>
      <c r="I48" s="335">
        <f>'t3'!G46</f>
        <v>0</v>
      </c>
      <c r="J48" s="335">
        <f>'t3'!I46</f>
        <v>0</v>
      </c>
      <c r="K48" s="335">
        <f>'t3'!K46</f>
        <v>0</v>
      </c>
      <c r="L48" s="335">
        <f t="shared" si="1"/>
        <v>0</v>
      </c>
      <c r="M48" s="335">
        <f>'t10'!AU46</f>
        <v>0</v>
      </c>
      <c r="N48" s="335" t="str">
        <f t="shared" si="2"/>
        <v>OK</v>
      </c>
      <c r="O48" s="103" t="str">
        <f t="shared" si="3"/>
        <v>OK</v>
      </c>
      <c r="P48" s="334">
        <f>'t1'!M46</f>
        <v>0</v>
      </c>
      <c r="Q48" s="334">
        <f>'t3'!N46</f>
        <v>0</v>
      </c>
      <c r="R48" s="335">
        <f>'t3'!P46</f>
        <v>0</v>
      </c>
      <c r="S48" s="335">
        <f>'t3'!R46</f>
        <v>0</v>
      </c>
      <c r="T48" s="335">
        <f>'t3'!D46</f>
        <v>0</v>
      </c>
      <c r="U48" s="335">
        <f>'t3'!F46</f>
        <v>0</v>
      </c>
      <c r="V48" s="335">
        <f>'t3'!H46</f>
        <v>0</v>
      </c>
      <c r="W48" s="335">
        <f>'t3'!J46</f>
        <v>0</v>
      </c>
      <c r="X48" s="335">
        <f>'t3'!L46</f>
        <v>0</v>
      </c>
      <c r="Y48" s="335">
        <f t="shared" si="0"/>
        <v>0</v>
      </c>
      <c r="Z48" s="335">
        <f>'t10'!AV46</f>
        <v>0</v>
      </c>
      <c r="AA48" s="335" t="str">
        <f t="shared" si="4"/>
        <v>OK</v>
      </c>
      <c r="AB48" s="191" t="str">
        <f t="shared" si="5"/>
        <v>OK</v>
      </c>
    </row>
    <row r="49" spans="1:28" ht="14.1" customHeight="1">
      <c r="A49" s="139" t="str">
        <f>'t1'!A47</f>
        <v>POSIZIONE ECONOMICA DI ACCESSO A1</v>
      </c>
      <c r="B49" s="186" t="str">
        <f>'t1'!B47</f>
        <v>053000</v>
      </c>
      <c r="C49" s="334">
        <f>'t1'!L47</f>
        <v>0</v>
      </c>
      <c r="D49" s="334">
        <f>'t3'!M47</f>
        <v>0</v>
      </c>
      <c r="E49" s="335">
        <f>'t3'!O47</f>
        <v>0</v>
      </c>
      <c r="F49" s="335">
        <f>'t3'!Q47</f>
        <v>0</v>
      </c>
      <c r="G49" s="335">
        <f>'t3'!C47</f>
        <v>0</v>
      </c>
      <c r="H49" s="335">
        <f>'t3'!E47</f>
        <v>0</v>
      </c>
      <c r="I49" s="335">
        <f>'t3'!G47</f>
        <v>0</v>
      </c>
      <c r="J49" s="335">
        <f>'t3'!I47</f>
        <v>0</v>
      </c>
      <c r="K49" s="335">
        <f>'t3'!K47</f>
        <v>0</v>
      </c>
      <c r="L49" s="335">
        <f t="shared" si="1"/>
        <v>0</v>
      </c>
      <c r="M49" s="335">
        <f>'t10'!AU47</f>
        <v>0</v>
      </c>
      <c r="N49" s="335" t="str">
        <f t="shared" si="2"/>
        <v>OK</v>
      </c>
      <c r="O49" s="103" t="str">
        <f t="shared" si="3"/>
        <v>OK</v>
      </c>
      <c r="P49" s="334">
        <f>'t1'!M47</f>
        <v>0</v>
      </c>
      <c r="Q49" s="334">
        <f>'t3'!N47</f>
        <v>0</v>
      </c>
      <c r="R49" s="335">
        <f>'t3'!P47</f>
        <v>0</v>
      </c>
      <c r="S49" s="335">
        <f>'t3'!R47</f>
        <v>0</v>
      </c>
      <c r="T49" s="335">
        <f>'t3'!D47</f>
        <v>0</v>
      </c>
      <c r="U49" s="335">
        <f>'t3'!F47</f>
        <v>0</v>
      </c>
      <c r="V49" s="335">
        <f>'t3'!H47</f>
        <v>0</v>
      </c>
      <c r="W49" s="335">
        <f>'t3'!J47</f>
        <v>0</v>
      </c>
      <c r="X49" s="335">
        <f>'t3'!L47</f>
        <v>0</v>
      </c>
      <c r="Y49" s="335">
        <f t="shared" si="0"/>
        <v>0</v>
      </c>
      <c r="Z49" s="335">
        <f>'t10'!AV47</f>
        <v>0</v>
      </c>
      <c r="AA49" s="335" t="str">
        <f t="shared" si="4"/>
        <v>OK</v>
      </c>
      <c r="AB49" s="191" t="str">
        <f t="shared" si="5"/>
        <v>OK</v>
      </c>
    </row>
    <row r="50" spans="1:28" ht="14.1" customHeight="1">
      <c r="A50" s="139" t="str">
        <f>'t1'!A48</f>
        <v>CONTRATTISTI (a)</v>
      </c>
      <c r="B50" s="186" t="str">
        <f>'t1'!B48</f>
        <v>000061</v>
      </c>
      <c r="C50" s="334">
        <f>'t1'!L48</f>
        <v>0</v>
      </c>
      <c r="D50" s="334">
        <f>'t3'!M48</f>
        <v>0</v>
      </c>
      <c r="E50" s="335">
        <f>'t3'!O48</f>
        <v>0</v>
      </c>
      <c r="F50" s="335">
        <f>'t3'!Q48</f>
        <v>0</v>
      </c>
      <c r="G50" s="335">
        <f>'t3'!C48</f>
        <v>0</v>
      </c>
      <c r="H50" s="335">
        <f>'t3'!E48</f>
        <v>0</v>
      </c>
      <c r="I50" s="335">
        <f>'t3'!G48</f>
        <v>0</v>
      </c>
      <c r="J50" s="335">
        <f>'t3'!I48</f>
        <v>0</v>
      </c>
      <c r="K50" s="335">
        <f>'t3'!K48</f>
        <v>0</v>
      </c>
      <c r="L50" s="335">
        <f>C50+D50+E50+F50-G50-H50-I50-J50-K50</f>
        <v>0</v>
      </c>
      <c r="M50" s="335">
        <f>'t10'!AU48</f>
        <v>0</v>
      </c>
      <c r="N50" s="335" t="str">
        <f t="shared" si="2"/>
        <v>OK</v>
      </c>
      <c r="O50" s="103" t="str">
        <f t="shared" si="3"/>
        <v>OK</v>
      </c>
      <c r="P50" s="334">
        <f>'t1'!M48</f>
        <v>0</v>
      </c>
      <c r="Q50" s="334">
        <f>'t3'!N48</f>
        <v>0</v>
      </c>
      <c r="R50" s="335">
        <f>'t3'!P48</f>
        <v>0</v>
      </c>
      <c r="S50" s="335">
        <f>'t3'!R48</f>
        <v>0</v>
      </c>
      <c r="T50" s="335">
        <f>'t3'!D48</f>
        <v>0</v>
      </c>
      <c r="U50" s="335">
        <f>'t3'!F48</f>
        <v>0</v>
      </c>
      <c r="V50" s="335">
        <f>'t3'!H48</f>
        <v>0</v>
      </c>
      <c r="W50" s="335">
        <f>'t3'!J48</f>
        <v>0</v>
      </c>
      <c r="X50" s="335">
        <f>'t3'!L48</f>
        <v>0</v>
      </c>
      <c r="Y50" s="335">
        <f>P50+Q50+R50+S50-T50-U50-V50-W50-X50</f>
        <v>0</v>
      </c>
      <c r="Z50" s="335">
        <f>'t10'!AV48</f>
        <v>0</v>
      </c>
      <c r="AA50" s="335" t="str">
        <f t="shared" si="4"/>
        <v>OK</v>
      </c>
      <c r="AB50" s="191" t="str">
        <f t="shared" si="5"/>
        <v>OK</v>
      </c>
    </row>
    <row r="51" spans="1:28" ht="14.1" customHeight="1">
      <c r="A51" s="139" t="str">
        <f>'t1'!A49</f>
        <v>COLLABORATORE A T.D. ART. 90 TUEL (b)</v>
      </c>
      <c r="B51" s="186" t="str">
        <f>'t1'!B49</f>
        <v>000096</v>
      </c>
      <c r="C51" s="334">
        <f>'t1'!L49</f>
        <v>0</v>
      </c>
      <c r="D51" s="334">
        <f>'t3'!M49</f>
        <v>0</v>
      </c>
      <c r="E51" s="335">
        <f>'t3'!O49</f>
        <v>0</v>
      </c>
      <c r="F51" s="335">
        <f>'t3'!Q49</f>
        <v>0</v>
      </c>
      <c r="G51" s="335">
        <f>'t3'!C49</f>
        <v>0</v>
      </c>
      <c r="H51" s="335">
        <f>'t3'!E49</f>
        <v>0</v>
      </c>
      <c r="I51" s="335">
        <f>'t3'!G49</f>
        <v>0</v>
      </c>
      <c r="J51" s="335">
        <f>'t3'!I49</f>
        <v>0</v>
      </c>
      <c r="K51" s="335">
        <f>'t3'!K49</f>
        <v>0</v>
      </c>
      <c r="L51" s="335">
        <f t="shared" si="1"/>
        <v>0</v>
      </c>
      <c r="M51" s="335">
        <f>'t10'!AU49</f>
        <v>0</v>
      </c>
      <c r="N51" s="335" t="str">
        <f t="shared" si="2"/>
        <v>OK</v>
      </c>
      <c r="O51" s="103" t="str">
        <f t="shared" si="3"/>
        <v>OK</v>
      </c>
      <c r="P51" s="334">
        <f>'t1'!M49</f>
        <v>0</v>
      </c>
      <c r="Q51" s="334">
        <f>'t3'!N49</f>
        <v>0</v>
      </c>
      <c r="R51" s="335">
        <f>'t3'!P49</f>
        <v>0</v>
      </c>
      <c r="S51" s="335">
        <f>'t3'!R49</f>
        <v>0</v>
      </c>
      <c r="T51" s="335">
        <f>'t3'!D49</f>
        <v>0</v>
      </c>
      <c r="U51" s="335">
        <f>'t3'!F49</f>
        <v>0</v>
      </c>
      <c r="V51" s="335">
        <f>'t3'!H49</f>
        <v>0</v>
      </c>
      <c r="W51" s="335">
        <f>'t3'!J49</f>
        <v>0</v>
      </c>
      <c r="X51" s="335">
        <f>'t3'!L49</f>
        <v>0</v>
      </c>
      <c r="Y51" s="335">
        <f>P51+Q51+R51+S51-T51-U51-V51-W51-X51</f>
        <v>0</v>
      </c>
      <c r="Z51" s="335">
        <f>'t10'!AV49</f>
        <v>0</v>
      </c>
      <c r="AA51" s="335" t="str">
        <f t="shared" si="4"/>
        <v>OK</v>
      </c>
      <c r="AB51" s="191" t="str">
        <f t="shared" si="5"/>
        <v>OK</v>
      </c>
    </row>
    <row r="52" spans="1:28" ht="15.75" customHeight="1">
      <c r="A52" s="139" t="str">
        <f>'t1'!A50</f>
        <v>TOTALE</v>
      </c>
      <c r="B52" s="175"/>
      <c r="C52" s="334">
        <f t="shared" ref="C52:M52" si="6">SUM(C8:C51)</f>
        <v>1</v>
      </c>
      <c r="D52" s="334">
        <f t="shared" si="6"/>
        <v>0</v>
      </c>
      <c r="E52" s="334">
        <f t="shared" si="6"/>
        <v>0</v>
      </c>
      <c r="F52" s="334">
        <f t="shared" si="6"/>
        <v>0</v>
      </c>
      <c r="G52" s="334">
        <f t="shared" si="6"/>
        <v>0</v>
      </c>
      <c r="H52" s="334">
        <f t="shared" si="6"/>
        <v>0</v>
      </c>
      <c r="I52" s="334">
        <f t="shared" si="6"/>
        <v>0</v>
      </c>
      <c r="J52" s="334">
        <f t="shared" si="6"/>
        <v>0</v>
      </c>
      <c r="K52" s="334">
        <f t="shared" si="6"/>
        <v>0</v>
      </c>
      <c r="L52" s="334">
        <f>SUM(L8:L51)</f>
        <v>1</v>
      </c>
      <c r="M52" s="334">
        <f t="shared" si="6"/>
        <v>0</v>
      </c>
      <c r="N52" s="335" t="str">
        <f t="shared" si="2"/>
        <v>OK</v>
      </c>
      <c r="O52" s="103" t="str">
        <f t="shared" si="3"/>
        <v>ERRORE</v>
      </c>
      <c r="P52" s="334">
        <f t="shared" ref="P52:Z52" si="7">SUM(P8:P51)</f>
        <v>3</v>
      </c>
      <c r="Q52" s="334">
        <f t="shared" si="7"/>
        <v>0</v>
      </c>
      <c r="R52" s="334">
        <f t="shared" si="7"/>
        <v>0</v>
      </c>
      <c r="S52" s="334">
        <f t="shared" si="7"/>
        <v>0</v>
      </c>
      <c r="T52" s="334">
        <f t="shared" si="7"/>
        <v>1</v>
      </c>
      <c r="U52" s="334">
        <f t="shared" si="7"/>
        <v>0</v>
      </c>
      <c r="V52" s="334">
        <f t="shared" si="7"/>
        <v>0</v>
      </c>
      <c r="W52" s="334">
        <f t="shared" si="7"/>
        <v>0</v>
      </c>
      <c r="X52" s="334">
        <f t="shared" si="7"/>
        <v>0</v>
      </c>
      <c r="Y52" s="334">
        <f t="shared" si="7"/>
        <v>2</v>
      </c>
      <c r="Z52" s="334">
        <f t="shared" si="7"/>
        <v>0</v>
      </c>
      <c r="AA52" s="335" t="str">
        <f t="shared" si="4"/>
        <v>OK</v>
      </c>
      <c r="AB52" s="191" t="str">
        <f t="shared" si="5"/>
        <v>ERRORE</v>
      </c>
    </row>
  </sheetData>
  <sheetProtection password="EA98" sheet="1" formatColumns="0" selectLockedCells="1" selectUnlockedCells="1"/>
  <mergeCells count="4">
    <mergeCell ref="P5:AB5"/>
    <mergeCell ref="C5:O5"/>
    <mergeCell ref="A1:Y1"/>
    <mergeCell ref="A2:M2"/>
  </mergeCells>
  <phoneticPr fontId="30" type="noConversion"/>
  <printOptions horizontalCentered="1" verticalCentered="1"/>
  <pageMargins left="0.2" right="0" top="0.17" bottom="0.16" header="0.18" footer="0.2"/>
  <pageSetup paperSize="9" scale="52" orientation="landscape" horizontalDpi="300" verticalDpi="4294967292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25">
    <pageSetUpPr fitToPage="1"/>
  </sheetPr>
  <dimension ref="A1:M50"/>
  <sheetViews>
    <sheetView showGridLines="0" workbookViewId="0">
      <pane ySplit="5" topLeftCell="A6" activePane="bottomLeft" state="frozen"/>
      <selection activeCell="A2" sqref="A2"/>
      <selection pane="bottomLeft" activeCell="A2" sqref="A2"/>
    </sheetView>
  </sheetViews>
  <sheetFormatPr defaultColWidth="9.28515625" defaultRowHeight="10.199999999999999"/>
  <cols>
    <col min="1" max="1" width="38.42578125" style="5" customWidth="1"/>
    <col min="2" max="2" width="11.7109375" style="7" customWidth="1"/>
    <col min="3" max="3" width="17" style="7" bestFit="1" customWidth="1"/>
    <col min="4" max="8" width="15.85546875" style="7" customWidth="1"/>
    <col min="9" max="9" width="14.85546875" style="7" customWidth="1"/>
    <col min="10" max="16384" width="9.28515625" style="5"/>
  </cols>
  <sheetData>
    <row r="1" spans="1:13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314"/>
      <c r="I1" s="311"/>
      <c r="K1" s="3"/>
      <c r="M1"/>
    </row>
    <row r="2" spans="1:13" ht="21" customHeight="1">
      <c r="B2" s="5"/>
      <c r="C2" s="5"/>
      <c r="D2" s="1524"/>
      <c r="E2" s="1524"/>
      <c r="F2" s="1524"/>
      <c r="G2" s="1524"/>
      <c r="H2" s="1524"/>
      <c r="I2" s="1524"/>
      <c r="J2" s="315"/>
      <c r="K2" s="3"/>
      <c r="M2"/>
    </row>
    <row r="3" spans="1:13" ht="21" customHeight="1">
      <c r="A3" s="196" t="s">
        <v>295</v>
      </c>
      <c r="C3" s="5"/>
      <c r="D3" s="5"/>
      <c r="E3" s="5"/>
      <c r="F3" s="5"/>
      <c r="G3" s="5"/>
      <c r="H3" s="5"/>
      <c r="I3" s="5"/>
    </row>
    <row r="4" spans="1:13" ht="49.5" customHeight="1">
      <c r="A4" s="183" t="s">
        <v>233</v>
      </c>
      <c r="B4" s="183" t="s">
        <v>232</v>
      </c>
      <c r="C4" s="183" t="str">
        <f>"Presenti 31.12 anno precedente (Tab 1)"</f>
        <v>Presenti 31.12 anno precedente (Tab 1)</v>
      </c>
      <c r="D4" s="183" t="s">
        <v>254</v>
      </c>
      <c r="E4" s="183" t="s">
        <v>255</v>
      </c>
      <c r="F4" s="183" t="s">
        <v>256</v>
      </c>
      <c r="G4" s="183" t="s">
        <v>267</v>
      </c>
      <c r="H4" s="183" t="s">
        <v>257</v>
      </c>
      <c r="I4" s="183" t="s">
        <v>224</v>
      </c>
    </row>
    <row r="5" spans="1:13">
      <c r="A5" s="317"/>
      <c r="B5" s="183"/>
      <c r="C5" s="194" t="s">
        <v>234</v>
      </c>
      <c r="D5" s="194" t="s">
        <v>235</v>
      </c>
      <c r="E5" s="194" t="s">
        <v>236</v>
      </c>
      <c r="F5" s="194" t="s">
        <v>237</v>
      </c>
      <c r="G5" s="194" t="s">
        <v>266</v>
      </c>
      <c r="H5" s="194" t="s">
        <v>258</v>
      </c>
      <c r="I5" s="194" t="s">
        <v>259</v>
      </c>
    </row>
    <row r="6" spans="1:13" ht="14.1" customHeight="1">
      <c r="A6" s="152" t="str">
        <f>'t1'!A6</f>
        <v>SEGRETARIO A</v>
      </c>
      <c r="B6" s="186" t="str">
        <f>'t1'!B6</f>
        <v>0D0102</v>
      </c>
      <c r="C6" s="334">
        <f>'t1'!C6+'t1'!D6</f>
        <v>0</v>
      </c>
      <c r="D6" s="334">
        <f>'t5'!S7+'t5'!T7</f>
        <v>0</v>
      </c>
      <c r="E6" s="335">
        <f>'t6'!U7+'t6'!V7</f>
        <v>0</v>
      </c>
      <c r="F6" s="335">
        <f>'t4'!C50</f>
        <v>0</v>
      </c>
      <c r="G6" s="335">
        <f>C6-D6+E6+F6</f>
        <v>0</v>
      </c>
      <c r="H6" s="335">
        <f>'t4'!AU6</f>
        <v>0</v>
      </c>
      <c r="I6" s="176" t="str">
        <f>IF(H6&lt;=G6,"OK","ERRORE")</f>
        <v>OK</v>
      </c>
    </row>
    <row r="7" spans="1:13" ht="14.1" customHeight="1">
      <c r="A7" s="152" t="str">
        <f>'t1'!A7</f>
        <v>SEGRETARIO B</v>
      </c>
      <c r="B7" s="186" t="str">
        <f>'t1'!B7</f>
        <v>0D0103</v>
      </c>
      <c r="C7" s="334">
        <f>'t1'!C7+'t1'!D7</f>
        <v>0</v>
      </c>
      <c r="D7" s="334">
        <f>'t5'!S8+'t5'!T8</f>
        <v>0</v>
      </c>
      <c r="E7" s="335">
        <f>'t6'!U8+'t6'!V8</f>
        <v>0</v>
      </c>
      <c r="F7" s="335">
        <f>'t4'!D50</f>
        <v>0</v>
      </c>
      <c r="G7" s="335">
        <f>C7-D7+E7+F7</f>
        <v>0</v>
      </c>
      <c r="H7" s="335">
        <f>'t4'!AU7</f>
        <v>0</v>
      </c>
      <c r="I7" s="176" t="str">
        <f t="shared" ref="I7:I40" si="0">IF(H7&lt;=G7,"OK","ERRORE")</f>
        <v>OK</v>
      </c>
    </row>
    <row r="8" spans="1:13" ht="14.1" customHeight="1">
      <c r="A8" s="152" t="str">
        <f>'t1'!A8</f>
        <v>SEGRETARIO C</v>
      </c>
      <c r="B8" s="186" t="str">
        <f>'t1'!B8</f>
        <v>0D0485</v>
      </c>
      <c r="C8" s="334">
        <f>'t1'!C8+'t1'!D8</f>
        <v>0</v>
      </c>
      <c r="D8" s="334">
        <f>'t5'!S9+'t5'!T9</f>
        <v>0</v>
      </c>
      <c r="E8" s="335">
        <f>'t6'!U9+'t6'!V9</f>
        <v>0</v>
      </c>
      <c r="F8" s="335">
        <f>'t4'!E50</f>
        <v>0</v>
      </c>
      <c r="G8" s="335">
        <f t="shared" ref="G8:G49" si="1">C8-D8+E8+F8</f>
        <v>0</v>
      </c>
      <c r="H8" s="335">
        <f>'t4'!AU8</f>
        <v>0</v>
      </c>
      <c r="I8" s="176" t="str">
        <f t="shared" si="0"/>
        <v>OK</v>
      </c>
    </row>
    <row r="9" spans="1:13" ht="14.1" customHeight="1">
      <c r="A9" s="152" t="str">
        <f>'t1'!A9</f>
        <v>SEGRETARIO GENERALE CCIAA</v>
      </c>
      <c r="B9" s="186" t="str">
        <f>'t1'!B9</f>
        <v>0D0104</v>
      </c>
      <c r="C9" s="334">
        <f>'t1'!C9+'t1'!D9</f>
        <v>0</v>
      </c>
      <c r="D9" s="334">
        <f>'t5'!S10+'t5'!T10</f>
        <v>0</v>
      </c>
      <c r="E9" s="335">
        <f>'t6'!U10+'t6'!V10</f>
        <v>0</v>
      </c>
      <c r="F9" s="335">
        <f>'t4'!F50</f>
        <v>0</v>
      </c>
      <c r="G9" s="335">
        <f t="shared" si="1"/>
        <v>0</v>
      </c>
      <c r="H9" s="335">
        <f>'t4'!AU9</f>
        <v>0</v>
      </c>
      <c r="I9" s="176" t="str">
        <f t="shared" si="0"/>
        <v>OK</v>
      </c>
    </row>
    <row r="10" spans="1:13" ht="14.1" customHeight="1">
      <c r="A10" s="152" t="str">
        <f>'t1'!A10</f>
        <v>DIRETTORE  GENERALE</v>
      </c>
      <c r="B10" s="186" t="str">
        <f>'t1'!B10</f>
        <v>0D0097</v>
      </c>
      <c r="C10" s="334">
        <f>'t1'!C10+'t1'!D10</f>
        <v>0</v>
      </c>
      <c r="D10" s="334">
        <f>'t5'!S11+'t5'!T11</f>
        <v>0</v>
      </c>
      <c r="E10" s="335">
        <f>'t6'!U11+'t6'!V11</f>
        <v>0</v>
      </c>
      <c r="F10" s="335">
        <f>'t4'!G50</f>
        <v>0</v>
      </c>
      <c r="G10" s="335">
        <f t="shared" si="1"/>
        <v>0</v>
      </c>
      <c r="H10" s="335">
        <f>'t4'!AU10</f>
        <v>0</v>
      </c>
      <c r="I10" s="176" t="str">
        <f t="shared" si="0"/>
        <v>OK</v>
      </c>
    </row>
    <row r="11" spans="1:13" ht="14.1" customHeight="1">
      <c r="A11" s="152" t="str">
        <f>'t1'!A11</f>
        <v>DIRIGENTE FUORI D.O. art.110 c.2 TUEL</v>
      </c>
      <c r="B11" s="186" t="str">
        <f>'t1'!B11</f>
        <v>0D0098</v>
      </c>
      <c r="C11" s="334">
        <f>'t1'!C11+'t1'!D11</f>
        <v>0</v>
      </c>
      <c r="D11" s="334">
        <f>'t5'!S12+'t5'!T12</f>
        <v>0</v>
      </c>
      <c r="E11" s="335">
        <f>'t6'!U12+'t6'!V12</f>
        <v>0</v>
      </c>
      <c r="F11" s="335">
        <f>'t4'!H50</f>
        <v>0</v>
      </c>
      <c r="G11" s="335">
        <f t="shared" si="1"/>
        <v>0</v>
      </c>
      <c r="H11" s="335">
        <f>'t4'!AU11</f>
        <v>0</v>
      </c>
      <c r="I11" s="176" t="str">
        <f t="shared" si="0"/>
        <v>OK</v>
      </c>
    </row>
    <row r="12" spans="1:13" ht="14.1" customHeight="1">
      <c r="A12" s="152" t="str">
        <f>'t1'!A12</f>
        <v>ALTE SPECIALIZZ. FUORI D.O.art.110 c.2 TUEL</v>
      </c>
      <c r="B12" s="186" t="str">
        <f>'t1'!B12</f>
        <v>0D0095</v>
      </c>
      <c r="C12" s="334">
        <f>'t1'!C12+'t1'!D12</f>
        <v>0</v>
      </c>
      <c r="D12" s="334">
        <f>'t5'!S13+'t5'!T13</f>
        <v>0</v>
      </c>
      <c r="E12" s="335">
        <f>'t6'!U13+'t6'!V13</f>
        <v>0</v>
      </c>
      <c r="F12" s="335">
        <f>'t4'!I50</f>
        <v>0</v>
      </c>
      <c r="G12" s="335">
        <f t="shared" si="1"/>
        <v>0</v>
      </c>
      <c r="H12" s="335">
        <f>'t4'!AU12</f>
        <v>0</v>
      </c>
      <c r="I12" s="176" t="str">
        <f t="shared" si="0"/>
        <v>OK</v>
      </c>
    </row>
    <row r="13" spans="1:13" ht="14.1" customHeight="1">
      <c r="A13" s="152" t="str">
        <f>'t1'!A13</f>
        <v>DIRIGENTE A TEMPO INDETERMINATO</v>
      </c>
      <c r="B13" s="186" t="str">
        <f>'t1'!B13</f>
        <v>0D0164</v>
      </c>
      <c r="C13" s="334">
        <f>'t1'!C13+'t1'!D13</f>
        <v>0</v>
      </c>
      <c r="D13" s="334">
        <f>'t5'!S14+'t5'!T14</f>
        <v>0</v>
      </c>
      <c r="E13" s="335">
        <f>'t6'!U14+'t6'!V14</f>
        <v>0</v>
      </c>
      <c r="F13" s="335">
        <f>'t4'!J50</f>
        <v>0</v>
      </c>
      <c r="G13" s="335">
        <f t="shared" si="1"/>
        <v>0</v>
      </c>
      <c r="H13" s="335">
        <f>'t4'!AU13</f>
        <v>0</v>
      </c>
      <c r="I13" s="176" t="str">
        <f t="shared" si="0"/>
        <v>OK</v>
      </c>
    </row>
    <row r="14" spans="1:13" ht="14.1" customHeight="1">
      <c r="A14" s="152" t="str">
        <f>'t1'!A14</f>
        <v>DIRIGENTE A TEMPO DET.TO  ART.110 C.1 TUEL</v>
      </c>
      <c r="B14" s="186" t="str">
        <f>'t1'!B14</f>
        <v>0D0165</v>
      </c>
      <c r="C14" s="334">
        <f>'t1'!C14+'t1'!D14</f>
        <v>0</v>
      </c>
      <c r="D14" s="334">
        <f>'t5'!S15+'t5'!T15</f>
        <v>0</v>
      </c>
      <c r="E14" s="335">
        <f>'t6'!U15+'t6'!V15</f>
        <v>0</v>
      </c>
      <c r="F14" s="335">
        <f>'t4'!K50</f>
        <v>0</v>
      </c>
      <c r="G14" s="335">
        <f t="shared" si="1"/>
        <v>0</v>
      </c>
      <c r="H14" s="335">
        <f>'t4'!AU14</f>
        <v>0</v>
      </c>
      <c r="I14" s="176" t="str">
        <f t="shared" si="0"/>
        <v>OK</v>
      </c>
    </row>
    <row r="15" spans="1:13" ht="14.1" customHeight="1">
      <c r="A15" s="152" t="str">
        <f>'t1'!A15</f>
        <v>ALTE SPECIALIZZ. IN D.O. art.110 c.1 TUEL</v>
      </c>
      <c r="B15" s="186" t="str">
        <f>'t1'!B15</f>
        <v>0D0I95</v>
      </c>
      <c r="C15" s="334">
        <f>'t1'!C15+'t1'!D15</f>
        <v>0</v>
      </c>
      <c r="D15" s="334">
        <f>'t5'!S16+'t5'!T16</f>
        <v>0</v>
      </c>
      <c r="E15" s="335">
        <f>'t6'!U16+'t6'!V16</f>
        <v>0</v>
      </c>
      <c r="F15" s="335">
        <f>'t4'!L50</f>
        <v>0</v>
      </c>
      <c r="G15" s="335">
        <f t="shared" si="1"/>
        <v>0</v>
      </c>
      <c r="H15" s="335">
        <f>'t4'!AU15</f>
        <v>0</v>
      </c>
      <c r="I15" s="176" t="str">
        <f t="shared" si="0"/>
        <v>OK</v>
      </c>
    </row>
    <row r="16" spans="1:13" ht="14.1" customHeight="1">
      <c r="A16" s="152" t="str">
        <f>'t1'!A16</f>
        <v>POSIZ. ECON. D6 - PROFILI ACCESSO D3</v>
      </c>
      <c r="B16" s="186" t="str">
        <f>'t1'!B16</f>
        <v>0D6A00</v>
      </c>
      <c r="C16" s="334">
        <f>'t1'!C16+'t1'!D16</f>
        <v>0</v>
      </c>
      <c r="D16" s="334">
        <f>'t5'!S17+'t5'!T17</f>
        <v>0</v>
      </c>
      <c r="E16" s="335">
        <f>'t6'!U17+'t6'!V17</f>
        <v>0</v>
      </c>
      <c r="F16" s="335">
        <f>'t4'!M50</f>
        <v>0</v>
      </c>
      <c r="G16" s="335">
        <f t="shared" si="1"/>
        <v>0</v>
      </c>
      <c r="H16" s="335">
        <f>'t4'!AU16</f>
        <v>0</v>
      </c>
      <c r="I16" s="176" t="str">
        <f t="shared" si="0"/>
        <v>OK</v>
      </c>
    </row>
    <row r="17" spans="1:9" ht="14.1" customHeight="1">
      <c r="A17" s="152" t="str">
        <f>'t1'!A17</f>
        <v>POSIZ. ECON. D6 - PROFILO ACCESSO D1</v>
      </c>
      <c r="B17" s="186" t="str">
        <f>'t1'!B17</f>
        <v>0D6000</v>
      </c>
      <c r="C17" s="334">
        <f>'t1'!C17+'t1'!D17</f>
        <v>0</v>
      </c>
      <c r="D17" s="334">
        <f>'t5'!S18+'t5'!T18</f>
        <v>0</v>
      </c>
      <c r="E17" s="335">
        <f>'t6'!U18+'t6'!V18</f>
        <v>0</v>
      </c>
      <c r="F17" s="335">
        <f>'t4'!N50</f>
        <v>0</v>
      </c>
      <c r="G17" s="335">
        <f t="shared" si="1"/>
        <v>0</v>
      </c>
      <c r="H17" s="335">
        <f>'t4'!AU17</f>
        <v>0</v>
      </c>
      <c r="I17" s="176" t="str">
        <f t="shared" si="0"/>
        <v>OK</v>
      </c>
    </row>
    <row r="18" spans="1:9" ht="14.1" customHeight="1">
      <c r="A18" s="152" t="str">
        <f>'t1'!A18</f>
        <v>POSIZ. ECON. D5 PROFILI ACCESSO D3</v>
      </c>
      <c r="B18" s="186" t="str">
        <f>'t1'!B18</f>
        <v>052486</v>
      </c>
      <c r="C18" s="334">
        <f>'t1'!C18+'t1'!D18</f>
        <v>0</v>
      </c>
      <c r="D18" s="334">
        <f>'t5'!S19+'t5'!T19</f>
        <v>0</v>
      </c>
      <c r="E18" s="335">
        <f>'t6'!U19+'t6'!V19</f>
        <v>0</v>
      </c>
      <c r="F18" s="335">
        <f>'t4'!O50</f>
        <v>0</v>
      </c>
      <c r="G18" s="335">
        <f t="shared" si="1"/>
        <v>0</v>
      </c>
      <c r="H18" s="335">
        <f>'t4'!AU18</f>
        <v>0</v>
      </c>
      <c r="I18" s="176" t="str">
        <f t="shared" si="0"/>
        <v>OK</v>
      </c>
    </row>
    <row r="19" spans="1:9" ht="14.1" customHeight="1">
      <c r="A19" s="152" t="str">
        <f>'t1'!A19</f>
        <v>POSIZ. ECON. D5 PROFILI ACCESSO D1</v>
      </c>
      <c r="B19" s="186" t="str">
        <f>'t1'!B19</f>
        <v>052487</v>
      </c>
      <c r="C19" s="334">
        <f>'t1'!C19+'t1'!D19</f>
        <v>0</v>
      </c>
      <c r="D19" s="334">
        <f>'t5'!S20+'t5'!T20</f>
        <v>0</v>
      </c>
      <c r="E19" s="335">
        <f>'t6'!U20+'t6'!V20</f>
        <v>0</v>
      </c>
      <c r="F19" s="335">
        <f>'t4'!P50</f>
        <v>0</v>
      </c>
      <c r="G19" s="335">
        <f t="shared" si="1"/>
        <v>0</v>
      </c>
      <c r="H19" s="335">
        <f>'t4'!AU19</f>
        <v>0</v>
      </c>
      <c r="I19" s="176" t="str">
        <f t="shared" si="0"/>
        <v>OK</v>
      </c>
    </row>
    <row r="20" spans="1:9" ht="14.1" customHeight="1">
      <c r="A20" s="152" t="str">
        <f>'t1'!A20</f>
        <v>POSIZ. ECON. D4 PROFILI ACCESSO D3</v>
      </c>
      <c r="B20" s="186" t="str">
        <f>'t1'!B20</f>
        <v>051488</v>
      </c>
      <c r="C20" s="334">
        <f>'t1'!C20+'t1'!D20</f>
        <v>0</v>
      </c>
      <c r="D20" s="334">
        <f>'t5'!S21+'t5'!T21</f>
        <v>0</v>
      </c>
      <c r="E20" s="335">
        <f>'t6'!U21+'t6'!V21</f>
        <v>0</v>
      </c>
      <c r="F20" s="335">
        <f>'t4'!Q50</f>
        <v>0</v>
      </c>
      <c r="G20" s="335">
        <f t="shared" si="1"/>
        <v>0</v>
      </c>
      <c r="H20" s="335">
        <f>'t4'!AU20</f>
        <v>0</v>
      </c>
      <c r="I20" s="176" t="str">
        <f t="shared" si="0"/>
        <v>OK</v>
      </c>
    </row>
    <row r="21" spans="1:9" ht="14.1" customHeight="1">
      <c r="A21" s="152" t="str">
        <f>'t1'!A21</f>
        <v>POSIZ. ECON. D4 PROFILI ACCESSO D1</v>
      </c>
      <c r="B21" s="186" t="str">
        <f>'t1'!B21</f>
        <v>051489</v>
      </c>
      <c r="C21" s="334">
        <f>'t1'!C21+'t1'!D21</f>
        <v>0</v>
      </c>
      <c r="D21" s="334">
        <f>'t5'!S22+'t5'!T22</f>
        <v>0</v>
      </c>
      <c r="E21" s="335">
        <f>'t6'!U22+'t6'!V22</f>
        <v>0</v>
      </c>
      <c r="F21" s="335">
        <f>'t4'!R50</f>
        <v>0</v>
      </c>
      <c r="G21" s="335">
        <f t="shared" si="1"/>
        <v>0</v>
      </c>
      <c r="H21" s="335">
        <f>'t4'!AU21</f>
        <v>0</v>
      </c>
      <c r="I21" s="176" t="str">
        <f t="shared" si="0"/>
        <v>OK</v>
      </c>
    </row>
    <row r="22" spans="1:9" ht="14.1" customHeight="1">
      <c r="A22" s="152" t="str">
        <f>'t1'!A22</f>
        <v>POSIZIONE ECONOMICA DI ACCESSO D3</v>
      </c>
      <c r="B22" s="186" t="str">
        <f>'t1'!B22</f>
        <v>058000</v>
      </c>
      <c r="C22" s="334">
        <f>'t1'!C22+'t1'!D22</f>
        <v>0</v>
      </c>
      <c r="D22" s="334">
        <f>'t5'!S23+'t5'!T23</f>
        <v>0</v>
      </c>
      <c r="E22" s="335">
        <f>'t6'!U23+'t6'!V23</f>
        <v>0</v>
      </c>
      <c r="F22" s="335">
        <f>'t4'!S50</f>
        <v>0</v>
      </c>
      <c r="G22" s="335">
        <f t="shared" si="1"/>
        <v>0</v>
      </c>
      <c r="H22" s="335">
        <f>'t4'!AU22</f>
        <v>0</v>
      </c>
      <c r="I22" s="176" t="str">
        <f t="shared" si="0"/>
        <v>OK</v>
      </c>
    </row>
    <row r="23" spans="1:9" ht="14.1" customHeight="1">
      <c r="A23" s="152" t="str">
        <f>'t1'!A23</f>
        <v>POSIZIONE ECONOMICA D3</v>
      </c>
      <c r="B23" s="186" t="str">
        <f>'t1'!B23</f>
        <v>050000</v>
      </c>
      <c r="C23" s="334">
        <f>'t1'!C23+'t1'!D23</f>
        <v>0</v>
      </c>
      <c r="D23" s="334">
        <f>'t5'!S24+'t5'!T24</f>
        <v>0</v>
      </c>
      <c r="E23" s="335">
        <f>'t6'!U24+'t6'!V24</f>
        <v>0</v>
      </c>
      <c r="F23" s="335">
        <f>'t4'!T50</f>
        <v>0</v>
      </c>
      <c r="G23" s="335">
        <f t="shared" si="1"/>
        <v>0</v>
      </c>
      <c r="H23" s="335">
        <f>'t4'!AU23</f>
        <v>0</v>
      </c>
      <c r="I23" s="176" t="str">
        <f t="shared" si="0"/>
        <v>OK</v>
      </c>
    </row>
    <row r="24" spans="1:9" ht="14.1" customHeight="1">
      <c r="A24" s="152" t="str">
        <f>'t1'!A24</f>
        <v>POSIZIONE ECONOMICA D2</v>
      </c>
      <c r="B24" s="186" t="str">
        <f>'t1'!B24</f>
        <v>049000</v>
      </c>
      <c r="C24" s="334">
        <f>'t1'!C24+'t1'!D24</f>
        <v>1</v>
      </c>
      <c r="D24" s="334">
        <f>'t5'!S25+'t5'!T25</f>
        <v>2</v>
      </c>
      <c r="E24" s="335">
        <f>'t6'!U25+'t6'!V25</f>
        <v>1</v>
      </c>
      <c r="F24" s="335">
        <f>'t4'!U50</f>
        <v>0</v>
      </c>
      <c r="G24" s="335">
        <f t="shared" si="1"/>
        <v>0</v>
      </c>
      <c r="H24" s="335">
        <f>'t4'!AU24</f>
        <v>0</v>
      </c>
      <c r="I24" s="176" t="str">
        <f t="shared" si="0"/>
        <v>OK</v>
      </c>
    </row>
    <row r="25" spans="1:9" ht="14.1" customHeight="1">
      <c r="A25" s="152" t="str">
        <f>'t1'!A25</f>
        <v>POSIZIONE ECONOMICA DI ACCESSO D1</v>
      </c>
      <c r="B25" s="186" t="str">
        <f>'t1'!B25</f>
        <v>057000</v>
      </c>
      <c r="C25" s="334">
        <f>'t1'!C25+'t1'!D25</f>
        <v>0</v>
      </c>
      <c r="D25" s="334">
        <f>'t5'!S26+'t5'!T26</f>
        <v>0</v>
      </c>
      <c r="E25" s="335">
        <f>'t6'!U26+'t6'!V26</f>
        <v>1</v>
      </c>
      <c r="F25" s="335">
        <f>'t4'!V50</f>
        <v>0</v>
      </c>
      <c r="G25" s="335">
        <f t="shared" si="1"/>
        <v>1</v>
      </c>
      <c r="H25" s="335">
        <f>'t4'!AU25</f>
        <v>0</v>
      </c>
      <c r="I25" s="176" t="str">
        <f t="shared" si="0"/>
        <v>OK</v>
      </c>
    </row>
    <row r="26" spans="1:9" ht="14.1" customHeight="1">
      <c r="A26" s="152" t="str">
        <f>'t1'!A26</f>
        <v>POSIZIONE ECONOMICA C5</v>
      </c>
      <c r="B26" s="186" t="str">
        <f>'t1'!B26</f>
        <v>046000</v>
      </c>
      <c r="C26" s="334">
        <f>'t1'!C26+'t1'!D26</f>
        <v>0</v>
      </c>
      <c r="D26" s="334">
        <f>'t5'!S27+'t5'!T27</f>
        <v>0</v>
      </c>
      <c r="E26" s="335">
        <f>'t6'!U27+'t6'!V27</f>
        <v>0</v>
      </c>
      <c r="F26" s="335">
        <f>'t4'!W50</f>
        <v>0</v>
      </c>
      <c r="G26" s="335">
        <f t="shared" si="1"/>
        <v>0</v>
      </c>
      <c r="H26" s="335">
        <f>'t4'!AU26</f>
        <v>0</v>
      </c>
      <c r="I26" s="176" t="str">
        <f t="shared" si="0"/>
        <v>OK</v>
      </c>
    </row>
    <row r="27" spans="1:9" ht="14.1" customHeight="1">
      <c r="A27" s="152" t="str">
        <f>'t1'!A27</f>
        <v>POSIZIONE ECONOMICA C4</v>
      </c>
      <c r="B27" s="186" t="str">
        <f>'t1'!B27</f>
        <v>045000</v>
      </c>
      <c r="C27" s="334">
        <f>'t1'!C27+'t1'!D27</f>
        <v>0</v>
      </c>
      <c r="D27" s="334">
        <f>'t5'!S28+'t5'!T28</f>
        <v>0</v>
      </c>
      <c r="E27" s="335">
        <f>'t6'!U28+'t6'!V28</f>
        <v>0</v>
      </c>
      <c r="F27" s="335">
        <f>'t4'!X50</f>
        <v>0</v>
      </c>
      <c r="G27" s="335">
        <f t="shared" si="1"/>
        <v>0</v>
      </c>
      <c r="H27" s="335">
        <f>'t4'!AU27</f>
        <v>0</v>
      </c>
      <c r="I27" s="176" t="str">
        <f t="shared" si="0"/>
        <v>OK</v>
      </c>
    </row>
    <row r="28" spans="1:9" ht="14.1" customHeight="1">
      <c r="A28" s="152" t="str">
        <f>'t1'!A28</f>
        <v>POSIZIONE ECONOMICA C3</v>
      </c>
      <c r="B28" s="186" t="str">
        <f>'t1'!B28</f>
        <v>043000</v>
      </c>
      <c r="C28" s="334">
        <f>'t1'!C28+'t1'!D28</f>
        <v>0</v>
      </c>
      <c r="D28" s="334">
        <f>'t5'!S29+'t5'!T29</f>
        <v>0</v>
      </c>
      <c r="E28" s="335">
        <f>'t6'!U29+'t6'!V29</f>
        <v>0</v>
      </c>
      <c r="F28" s="335">
        <f>'t4'!Y50</f>
        <v>0</v>
      </c>
      <c r="G28" s="335">
        <f t="shared" si="1"/>
        <v>0</v>
      </c>
      <c r="H28" s="335">
        <f>'t4'!AU28</f>
        <v>0</v>
      </c>
      <c r="I28" s="176" t="str">
        <f t="shared" si="0"/>
        <v>OK</v>
      </c>
    </row>
    <row r="29" spans="1:9" ht="14.1" customHeight="1">
      <c r="A29" s="152" t="str">
        <f>'t1'!A29</f>
        <v>POSIZIONE ECONOMICA C2</v>
      </c>
      <c r="B29" s="186" t="str">
        <f>'t1'!B29</f>
        <v>042000</v>
      </c>
      <c r="C29" s="334">
        <f>'t1'!C29+'t1'!D29</f>
        <v>1</v>
      </c>
      <c r="D29" s="334">
        <f>'t5'!S30+'t5'!T30</f>
        <v>0</v>
      </c>
      <c r="E29" s="335">
        <f>'t6'!U30+'t6'!V30</f>
        <v>0</v>
      </c>
      <c r="F29" s="335">
        <f>'t4'!Z50</f>
        <v>0</v>
      </c>
      <c r="G29" s="335">
        <f t="shared" si="1"/>
        <v>1</v>
      </c>
      <c r="H29" s="335">
        <f>'t4'!AU29</f>
        <v>0</v>
      </c>
      <c r="I29" s="176" t="str">
        <f t="shared" si="0"/>
        <v>OK</v>
      </c>
    </row>
    <row r="30" spans="1:9" ht="14.1" customHeight="1">
      <c r="A30" s="152" t="str">
        <f>'t1'!A30</f>
        <v>POSIZIONE ECONOMICA DI ACCESSO C1</v>
      </c>
      <c r="B30" s="186" t="str">
        <f>'t1'!B30</f>
        <v>056000</v>
      </c>
      <c r="C30" s="334">
        <f>'t1'!C30+'t1'!D30</f>
        <v>2</v>
      </c>
      <c r="D30" s="334">
        <f>'t5'!S31+'t5'!T31</f>
        <v>2</v>
      </c>
      <c r="E30" s="335">
        <f>'t6'!U31+'t6'!V31</f>
        <v>2</v>
      </c>
      <c r="F30" s="335">
        <f>'t4'!AA50</f>
        <v>0</v>
      </c>
      <c r="G30" s="335">
        <f t="shared" si="1"/>
        <v>2</v>
      </c>
      <c r="H30" s="335">
        <f>'t4'!AU30</f>
        <v>0</v>
      </c>
      <c r="I30" s="176" t="str">
        <f t="shared" si="0"/>
        <v>OK</v>
      </c>
    </row>
    <row r="31" spans="1:9" ht="14.1" customHeight="1">
      <c r="A31" s="152" t="str">
        <f>'t1'!A31</f>
        <v>POSIZ. ECON. B7 - PROFILO ACCESSO B3</v>
      </c>
      <c r="B31" s="186" t="str">
        <f>'t1'!B31</f>
        <v>0B7A00</v>
      </c>
      <c r="C31" s="334">
        <f>'t1'!C31+'t1'!D31</f>
        <v>0</v>
      </c>
      <c r="D31" s="334">
        <f>'t5'!S32+'t5'!T32</f>
        <v>0</v>
      </c>
      <c r="E31" s="335">
        <f>'t6'!U32+'t6'!V32</f>
        <v>0</v>
      </c>
      <c r="F31" s="335">
        <f>'t4'!AB50</f>
        <v>0</v>
      </c>
      <c r="G31" s="335">
        <f t="shared" si="1"/>
        <v>0</v>
      </c>
      <c r="H31" s="335">
        <f>'t4'!AU31</f>
        <v>0</v>
      </c>
      <c r="I31" s="176" t="str">
        <f t="shared" si="0"/>
        <v>OK</v>
      </c>
    </row>
    <row r="32" spans="1:9" ht="14.1" customHeight="1">
      <c r="A32" s="152" t="str">
        <f>'t1'!A32</f>
        <v>POSIZ. ECON. B7 - PROFILO  ACCESSO B1</v>
      </c>
      <c r="B32" s="186" t="str">
        <f>'t1'!B32</f>
        <v>0B7000</v>
      </c>
      <c r="C32" s="334">
        <f>'t1'!C32+'t1'!D32</f>
        <v>0</v>
      </c>
      <c r="D32" s="334">
        <f>'t5'!S33+'t5'!T33</f>
        <v>0</v>
      </c>
      <c r="E32" s="335">
        <f>'t6'!U33+'t6'!V33</f>
        <v>0</v>
      </c>
      <c r="F32" s="335">
        <f>'t4'!AC50</f>
        <v>0</v>
      </c>
      <c r="G32" s="335">
        <f t="shared" si="1"/>
        <v>0</v>
      </c>
      <c r="H32" s="335">
        <f>'t4'!AU32</f>
        <v>0</v>
      </c>
      <c r="I32" s="176" t="str">
        <f t="shared" si="0"/>
        <v>OK</v>
      </c>
    </row>
    <row r="33" spans="1:9" ht="14.1" customHeight="1">
      <c r="A33" s="152" t="str">
        <f>'t1'!A33</f>
        <v>POSIZ. ECON. B6 PROFILI ACCESSO B3</v>
      </c>
      <c r="B33" s="186" t="str">
        <f>'t1'!B33</f>
        <v>038490</v>
      </c>
      <c r="C33" s="334">
        <f>'t1'!C33+'t1'!D33</f>
        <v>0</v>
      </c>
      <c r="D33" s="334">
        <f>'t5'!S34+'t5'!T34</f>
        <v>0</v>
      </c>
      <c r="E33" s="335">
        <f>'t6'!U34+'t6'!V34</f>
        <v>0</v>
      </c>
      <c r="F33" s="335">
        <f>'t4'!AD50</f>
        <v>0</v>
      </c>
      <c r="G33" s="335">
        <f t="shared" si="1"/>
        <v>0</v>
      </c>
      <c r="H33" s="335">
        <f>'t4'!AU33</f>
        <v>0</v>
      </c>
      <c r="I33" s="176" t="str">
        <f t="shared" si="0"/>
        <v>OK</v>
      </c>
    </row>
    <row r="34" spans="1:9" ht="14.1" customHeight="1">
      <c r="A34" s="152" t="str">
        <f>'t1'!A34</f>
        <v>POSIZ. ECON. B6 PROFILI ACCESSO B1</v>
      </c>
      <c r="B34" s="186" t="str">
        <f>'t1'!B34</f>
        <v>038491</v>
      </c>
      <c r="C34" s="334">
        <f>'t1'!C34+'t1'!D34</f>
        <v>0</v>
      </c>
      <c r="D34" s="334">
        <f>'t5'!S35+'t5'!T35</f>
        <v>0</v>
      </c>
      <c r="E34" s="335">
        <f>'t6'!U35+'t6'!V35</f>
        <v>0</v>
      </c>
      <c r="F34" s="335">
        <f>'t4'!AE50</f>
        <v>0</v>
      </c>
      <c r="G34" s="335">
        <f t="shared" si="1"/>
        <v>0</v>
      </c>
      <c r="H34" s="335">
        <f>'t4'!AU34</f>
        <v>0</v>
      </c>
      <c r="I34" s="176" t="str">
        <f t="shared" si="0"/>
        <v>OK</v>
      </c>
    </row>
    <row r="35" spans="1:9" ht="14.1" customHeight="1">
      <c r="A35" s="152" t="str">
        <f>'t1'!A35</f>
        <v>POSIZ. ECON. B5 PROFILI ACCESSO B3</v>
      </c>
      <c r="B35" s="186" t="str">
        <f>'t1'!B35</f>
        <v>037492</v>
      </c>
      <c r="C35" s="334">
        <f>'t1'!C35+'t1'!D35</f>
        <v>0</v>
      </c>
      <c r="D35" s="334">
        <f>'t5'!S36+'t5'!T36</f>
        <v>0</v>
      </c>
      <c r="E35" s="335">
        <f>'t6'!U36+'t6'!V36</f>
        <v>0</v>
      </c>
      <c r="F35" s="335">
        <f>'t4'!AF50</f>
        <v>0</v>
      </c>
      <c r="G35" s="335">
        <f t="shared" si="1"/>
        <v>0</v>
      </c>
      <c r="H35" s="335">
        <f>'t4'!AU35</f>
        <v>0</v>
      </c>
      <c r="I35" s="176" t="str">
        <f t="shared" si="0"/>
        <v>OK</v>
      </c>
    </row>
    <row r="36" spans="1:9" ht="14.1" customHeight="1">
      <c r="A36" s="152" t="str">
        <f>'t1'!A36</f>
        <v>POSIZ. ECON. B5 PROFILI ACCESSO B1</v>
      </c>
      <c r="B36" s="186" t="str">
        <f>'t1'!B36</f>
        <v>037493</v>
      </c>
      <c r="C36" s="334">
        <f>'t1'!C36+'t1'!D36</f>
        <v>0</v>
      </c>
      <c r="D36" s="334">
        <f>'t5'!S37+'t5'!T37</f>
        <v>0</v>
      </c>
      <c r="E36" s="335">
        <f>'t6'!U37+'t6'!V37</f>
        <v>0</v>
      </c>
      <c r="F36" s="335">
        <f>'t4'!AG50</f>
        <v>0</v>
      </c>
      <c r="G36" s="335">
        <f t="shared" si="1"/>
        <v>0</v>
      </c>
      <c r="H36" s="335">
        <f>'t4'!AU36</f>
        <v>0</v>
      </c>
      <c r="I36" s="176" t="str">
        <f t="shared" si="0"/>
        <v>OK</v>
      </c>
    </row>
    <row r="37" spans="1:9" ht="14.1" customHeight="1">
      <c r="A37" s="152" t="str">
        <f>'t1'!A37</f>
        <v>POSIZ. ECON. B4 PROFILI ACCESSO B3</v>
      </c>
      <c r="B37" s="186" t="str">
        <f>'t1'!B37</f>
        <v>036494</v>
      </c>
      <c r="C37" s="334">
        <f>'t1'!C37+'t1'!D37</f>
        <v>0</v>
      </c>
      <c r="D37" s="334">
        <f>'t5'!S38+'t5'!T38</f>
        <v>0</v>
      </c>
      <c r="E37" s="335">
        <f>'t6'!U38+'t6'!V38</f>
        <v>0</v>
      </c>
      <c r="F37" s="335">
        <f>'t4'!AH50</f>
        <v>0</v>
      </c>
      <c r="G37" s="335">
        <f t="shared" si="1"/>
        <v>0</v>
      </c>
      <c r="H37" s="335">
        <f>'t4'!AU37</f>
        <v>0</v>
      </c>
      <c r="I37" s="176" t="str">
        <f t="shared" si="0"/>
        <v>OK</v>
      </c>
    </row>
    <row r="38" spans="1:9" ht="14.1" customHeight="1">
      <c r="A38" s="152" t="str">
        <f>'t1'!A38</f>
        <v>POSIZ. ECON. B4 PROFILI ACCESSO B1</v>
      </c>
      <c r="B38" s="186" t="str">
        <f>'t1'!B38</f>
        <v>036495</v>
      </c>
      <c r="C38" s="334">
        <f>'t1'!C38+'t1'!D38</f>
        <v>0</v>
      </c>
      <c r="D38" s="334">
        <f>'t5'!S39+'t5'!T39</f>
        <v>0</v>
      </c>
      <c r="E38" s="335">
        <f>'t6'!U39+'t6'!V39</f>
        <v>0</v>
      </c>
      <c r="F38" s="335">
        <f>'t4'!AI50</f>
        <v>0</v>
      </c>
      <c r="G38" s="335">
        <f t="shared" si="1"/>
        <v>0</v>
      </c>
      <c r="H38" s="335">
        <f>'t4'!AU38</f>
        <v>0</v>
      </c>
      <c r="I38" s="176" t="str">
        <f t="shared" si="0"/>
        <v>OK</v>
      </c>
    </row>
    <row r="39" spans="1:9" ht="14.1" customHeight="1">
      <c r="A39" s="152" t="str">
        <f>'t1'!A39</f>
        <v>POSIZIONE ECONOMICA DI ACCESSO B3</v>
      </c>
      <c r="B39" s="186" t="str">
        <f>'t1'!B39</f>
        <v>055000</v>
      </c>
      <c r="C39" s="334">
        <f>'t1'!C39+'t1'!D39</f>
        <v>0</v>
      </c>
      <c r="D39" s="334">
        <f>'t5'!S40+'t5'!T40</f>
        <v>0</v>
      </c>
      <c r="E39" s="335">
        <f>'t6'!U40+'t6'!V40</f>
        <v>0</v>
      </c>
      <c r="F39" s="335">
        <f>'t4'!AJ50</f>
        <v>0</v>
      </c>
      <c r="G39" s="335">
        <f t="shared" si="1"/>
        <v>0</v>
      </c>
      <c r="H39" s="335">
        <f>'t4'!AU39</f>
        <v>0</v>
      </c>
      <c r="I39" s="176" t="str">
        <f t="shared" si="0"/>
        <v>OK</v>
      </c>
    </row>
    <row r="40" spans="1:9" ht="14.1" customHeight="1">
      <c r="A40" s="152" t="str">
        <f>'t1'!A40</f>
        <v>POSIZIONE ECONOMICA B3</v>
      </c>
      <c r="B40" s="186" t="str">
        <f>'t1'!B40</f>
        <v>034000</v>
      </c>
      <c r="C40" s="334">
        <f>'t1'!C40+'t1'!D40</f>
        <v>0</v>
      </c>
      <c r="D40" s="334">
        <f>'t5'!S41+'t5'!T41</f>
        <v>0</v>
      </c>
      <c r="E40" s="335">
        <f>'t6'!U41+'t6'!V41</f>
        <v>0</v>
      </c>
      <c r="F40" s="335">
        <f>'t4'!AK50</f>
        <v>0</v>
      </c>
      <c r="G40" s="335">
        <f t="shared" si="1"/>
        <v>0</v>
      </c>
      <c r="H40" s="335">
        <f>'t4'!AU40</f>
        <v>0</v>
      </c>
      <c r="I40" s="176" t="str">
        <f t="shared" si="0"/>
        <v>OK</v>
      </c>
    </row>
    <row r="41" spans="1:9" ht="14.1" customHeight="1">
      <c r="A41" s="152" t="str">
        <f>'t1'!A41</f>
        <v>POSIZIONE ECONOMICA B2</v>
      </c>
      <c r="B41" s="186" t="str">
        <f>'t1'!B41</f>
        <v>032000</v>
      </c>
      <c r="C41" s="334">
        <f>'t1'!C41+'t1'!D41</f>
        <v>0</v>
      </c>
      <c r="D41" s="334">
        <f>'t5'!S42+'t5'!T42</f>
        <v>0</v>
      </c>
      <c r="E41" s="335">
        <f>'t6'!U42+'t6'!V42</f>
        <v>0</v>
      </c>
      <c r="F41" s="335">
        <f>'t4'!AL50</f>
        <v>0</v>
      </c>
      <c r="G41" s="335">
        <f t="shared" si="1"/>
        <v>0</v>
      </c>
      <c r="H41" s="335">
        <f>'t4'!AU41</f>
        <v>0</v>
      </c>
      <c r="I41" s="176" t="str">
        <f t="shared" ref="I41:I50" si="2">IF(H41&lt;=G41,"OK","ERRORE")</f>
        <v>OK</v>
      </c>
    </row>
    <row r="42" spans="1:9" ht="14.1" customHeight="1">
      <c r="A42" s="152" t="str">
        <f>'t1'!A42</f>
        <v>POSIZIONE ECONOMICA DI ACCESSO B1</v>
      </c>
      <c r="B42" s="186" t="str">
        <f>'t1'!B42</f>
        <v>054000</v>
      </c>
      <c r="C42" s="334">
        <f>'t1'!C42+'t1'!D42</f>
        <v>0</v>
      </c>
      <c r="D42" s="334">
        <f>'t5'!S43+'t5'!T43</f>
        <v>0</v>
      </c>
      <c r="E42" s="335">
        <f>'t6'!U43+'t6'!V43</f>
        <v>0</v>
      </c>
      <c r="F42" s="335">
        <f>'t4'!AM50</f>
        <v>0</v>
      </c>
      <c r="G42" s="335">
        <f t="shared" si="1"/>
        <v>0</v>
      </c>
      <c r="H42" s="335">
        <f>'t4'!AU42</f>
        <v>0</v>
      </c>
      <c r="I42" s="176" t="str">
        <f t="shared" si="2"/>
        <v>OK</v>
      </c>
    </row>
    <row r="43" spans="1:9" ht="14.1" customHeight="1">
      <c r="A43" s="152" t="str">
        <f>'t1'!A43</f>
        <v>POSIZIONE ECONOMICA A5</v>
      </c>
      <c r="B43" s="186" t="str">
        <f>'t1'!B43</f>
        <v>0A5000</v>
      </c>
      <c r="C43" s="334">
        <f>'t1'!C43+'t1'!D43</f>
        <v>0</v>
      </c>
      <c r="D43" s="334">
        <f>'t5'!S44+'t5'!T44</f>
        <v>0</v>
      </c>
      <c r="E43" s="335">
        <f>'t6'!U44+'t6'!V44</f>
        <v>0</v>
      </c>
      <c r="F43" s="335">
        <f>'t4'!AN50</f>
        <v>0</v>
      </c>
      <c r="G43" s="335">
        <f t="shared" si="1"/>
        <v>0</v>
      </c>
      <c r="H43" s="335">
        <f>'t4'!AU43</f>
        <v>0</v>
      </c>
      <c r="I43" s="176" t="str">
        <f t="shared" si="2"/>
        <v>OK</v>
      </c>
    </row>
    <row r="44" spans="1:9" ht="14.1" customHeight="1">
      <c r="A44" s="152" t="str">
        <f>'t1'!A44</f>
        <v>POSIZIONE ECONOMICA A4</v>
      </c>
      <c r="B44" s="186" t="str">
        <f>'t1'!B44</f>
        <v>028000</v>
      </c>
      <c r="C44" s="334">
        <f>'t1'!C44+'t1'!D44</f>
        <v>0</v>
      </c>
      <c r="D44" s="334">
        <f>'t5'!S45+'t5'!T45</f>
        <v>0</v>
      </c>
      <c r="E44" s="335">
        <f>'t6'!U45+'t6'!V45</f>
        <v>0</v>
      </c>
      <c r="F44" s="335">
        <f>'t4'!AO50</f>
        <v>0</v>
      </c>
      <c r="G44" s="335">
        <f t="shared" si="1"/>
        <v>0</v>
      </c>
      <c r="H44" s="335">
        <f>'t4'!AU44</f>
        <v>0</v>
      </c>
      <c r="I44" s="176" t="str">
        <f t="shared" si="2"/>
        <v>OK</v>
      </c>
    </row>
    <row r="45" spans="1:9" ht="14.1" customHeight="1">
      <c r="A45" s="152" t="str">
        <f>'t1'!A45</f>
        <v>POSIZIONE ECONOMICA A3</v>
      </c>
      <c r="B45" s="186" t="str">
        <f>'t1'!B45</f>
        <v>027000</v>
      </c>
      <c r="C45" s="334">
        <f>'t1'!C45+'t1'!D45</f>
        <v>0</v>
      </c>
      <c r="D45" s="334">
        <f>'t5'!S46+'t5'!T46</f>
        <v>0</v>
      </c>
      <c r="E45" s="335">
        <f>'t6'!U46+'t6'!V46</f>
        <v>0</v>
      </c>
      <c r="F45" s="335">
        <f>'t4'!AP50</f>
        <v>0</v>
      </c>
      <c r="G45" s="335">
        <f t="shared" si="1"/>
        <v>0</v>
      </c>
      <c r="H45" s="335">
        <f>'t4'!AU45</f>
        <v>0</v>
      </c>
      <c r="I45" s="176" t="str">
        <f t="shared" si="2"/>
        <v>OK</v>
      </c>
    </row>
    <row r="46" spans="1:9" ht="14.1" customHeight="1">
      <c r="A46" s="152" t="str">
        <f>'t1'!A46</f>
        <v>POSIZIONE ECONOMICA A2</v>
      </c>
      <c r="B46" s="186" t="str">
        <f>'t1'!B46</f>
        <v>025000</v>
      </c>
      <c r="C46" s="334">
        <f>'t1'!C46+'t1'!D46</f>
        <v>0</v>
      </c>
      <c r="D46" s="334">
        <f>'t5'!S47+'t5'!T47</f>
        <v>0</v>
      </c>
      <c r="E46" s="335">
        <f>'t6'!U47+'t6'!V47</f>
        <v>0</v>
      </c>
      <c r="F46" s="335">
        <f>'t4'!AQ50</f>
        <v>0</v>
      </c>
      <c r="G46" s="335">
        <f t="shared" si="1"/>
        <v>0</v>
      </c>
      <c r="H46" s="335">
        <f>'t4'!AU46</f>
        <v>0</v>
      </c>
      <c r="I46" s="176" t="str">
        <f t="shared" si="2"/>
        <v>OK</v>
      </c>
    </row>
    <row r="47" spans="1:9" ht="14.1" customHeight="1">
      <c r="A47" s="152" t="str">
        <f>'t1'!A47</f>
        <v>POSIZIONE ECONOMICA DI ACCESSO A1</v>
      </c>
      <c r="B47" s="186" t="str">
        <f>'t1'!B47</f>
        <v>053000</v>
      </c>
      <c r="C47" s="334">
        <f>'t1'!C47+'t1'!D47</f>
        <v>0</v>
      </c>
      <c r="D47" s="334">
        <f>'t5'!S48+'t5'!T48</f>
        <v>0</v>
      </c>
      <c r="E47" s="335">
        <f>'t6'!U48+'t6'!V48</f>
        <v>0</v>
      </c>
      <c r="F47" s="335">
        <f>'t4'!AR50</f>
        <v>0</v>
      </c>
      <c r="G47" s="335">
        <f t="shared" si="1"/>
        <v>0</v>
      </c>
      <c r="H47" s="335">
        <f>'t4'!AU47</f>
        <v>0</v>
      </c>
      <c r="I47" s="176" t="str">
        <f t="shared" si="2"/>
        <v>OK</v>
      </c>
    </row>
    <row r="48" spans="1:9" ht="14.1" customHeight="1">
      <c r="A48" s="152" t="str">
        <f>'t1'!A48</f>
        <v>CONTRATTISTI (a)</v>
      </c>
      <c r="B48" s="186" t="str">
        <f>'t1'!B48</f>
        <v>000061</v>
      </c>
      <c r="C48" s="334">
        <f>'t1'!C48+'t1'!D48</f>
        <v>0</v>
      </c>
      <c r="D48" s="334">
        <f>'t5'!S49+'t5'!T49</f>
        <v>0</v>
      </c>
      <c r="E48" s="335">
        <f>'t6'!U49+'t6'!V49</f>
        <v>0</v>
      </c>
      <c r="F48" s="335">
        <f>'t4'!AS50</f>
        <v>0</v>
      </c>
      <c r="G48" s="335">
        <f>C48-D48+E48+F48</f>
        <v>0</v>
      </c>
      <c r="H48" s="335">
        <f>'t4'!AU48</f>
        <v>0</v>
      </c>
      <c r="I48" s="176" t="str">
        <f>IF(H48&lt;=G48,"OK","ERRORE")</f>
        <v>OK</v>
      </c>
    </row>
    <row r="49" spans="1:9" ht="14.1" customHeight="1">
      <c r="A49" s="152" t="str">
        <f>'t1'!A49</f>
        <v>COLLABORATORE A T.D. ART. 90 TUEL (b)</v>
      </c>
      <c r="B49" s="186" t="str">
        <f>'t1'!B49</f>
        <v>000096</v>
      </c>
      <c r="C49" s="334">
        <f>'t1'!C49+'t1'!D49</f>
        <v>0</v>
      </c>
      <c r="D49" s="334">
        <f>'t5'!S50+'t5'!T50</f>
        <v>0</v>
      </c>
      <c r="E49" s="335">
        <f>'t6'!U50+'t6'!V50</f>
        <v>0</v>
      </c>
      <c r="F49" s="335">
        <f>'t4'!AT50</f>
        <v>0</v>
      </c>
      <c r="G49" s="335">
        <f t="shared" si="1"/>
        <v>0</v>
      </c>
      <c r="H49" s="335">
        <f>'t4'!AU49</f>
        <v>0</v>
      </c>
      <c r="I49" s="176" t="str">
        <f t="shared" si="2"/>
        <v>OK</v>
      </c>
    </row>
    <row r="50" spans="1:9" s="341" customFormat="1" ht="15.75" customHeight="1">
      <c r="A50" s="366" t="str">
        <f>'t1'!A50</f>
        <v>TOTALE</v>
      </c>
      <c r="B50" s="205"/>
      <c r="C50" s="360">
        <f t="shared" ref="C50:H50" si="3">SUM(C6:C49)</f>
        <v>4</v>
      </c>
      <c r="D50" s="360">
        <f t="shared" si="3"/>
        <v>4</v>
      </c>
      <c r="E50" s="360">
        <f t="shared" si="3"/>
        <v>4</v>
      </c>
      <c r="F50" s="360">
        <f t="shared" si="3"/>
        <v>0</v>
      </c>
      <c r="G50" s="360">
        <f t="shared" si="3"/>
        <v>4</v>
      </c>
      <c r="H50" s="360">
        <f t="shared" si="3"/>
        <v>0</v>
      </c>
      <c r="I50" s="177" t="str">
        <f t="shared" si="2"/>
        <v>OK</v>
      </c>
    </row>
  </sheetData>
  <sheetProtection password="EA98" sheet="1" formatColumns="0" selectLockedCells="1" selectUnlockedCells="1"/>
  <mergeCells count="2">
    <mergeCell ref="D2:I2"/>
    <mergeCell ref="A1:G1"/>
  </mergeCells>
  <phoneticPr fontId="30" type="noConversion"/>
  <printOptions horizontalCentered="1" verticalCentered="1"/>
  <pageMargins left="0" right="0" top="0.17" bottom="0.17" header="0.19" footer="0.2"/>
  <pageSetup paperSize="9" scale="74" orientation="landscape" horizontalDpi="300" verticalDpi="4294967292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>
    <tabColor indexed="10"/>
    <pageSetUpPr fitToPage="1"/>
  </sheetPr>
  <dimension ref="A1:I24"/>
  <sheetViews>
    <sheetView showGridLines="0" workbookViewId="0">
      <pane ySplit="4" topLeftCell="A11" activePane="bottomLeft" state="frozen"/>
      <selection activeCell="A2" sqref="A2"/>
      <selection pane="bottomLeft" activeCell="B4" sqref="B4"/>
    </sheetView>
  </sheetViews>
  <sheetFormatPr defaultColWidth="9.28515625" defaultRowHeight="10.199999999999999"/>
  <cols>
    <col min="1" max="1" width="29.85546875" style="5" customWidth="1"/>
    <col min="2" max="4" width="29.85546875" style="7" customWidth="1"/>
    <col min="5" max="5" width="7.140625" style="5" hidden="1" customWidth="1"/>
    <col min="6" max="16384" width="9.28515625" style="5"/>
  </cols>
  <sheetData>
    <row r="1" spans="1:9" ht="30" customHeight="1">
      <c r="A1" s="1442" t="str">
        <f>'t1'!A1</f>
        <v>COMPARTO REGIONI ED AUTONOMIE LOCALI - anno 2017</v>
      </c>
      <c r="B1" s="1442"/>
      <c r="C1" s="1442"/>
      <c r="D1" s="1442"/>
    </row>
    <row r="2" spans="1:9" ht="56.25" customHeight="1">
      <c r="A2" s="1531" t="s">
        <v>626</v>
      </c>
      <c r="B2" s="1531"/>
      <c r="C2" s="1531"/>
      <c r="D2" s="1531"/>
    </row>
    <row r="3" spans="1:9" ht="51" customHeight="1">
      <c r="A3" s="1536" t="str">
        <f>"Controllo della compilazione della SI_1A  e controllo di coerenza tra il personale appartenente alla polizia locale dichiarato nella SI_1A ed i presenti al 31.12."&amp;'t1'!M1&amp;" rilevati in Tabella 1 (Squadratura 7)"</f>
        <v>Controllo della compilazione della SI_1A  e controllo di coerenza tra il personale appartenente alla polizia locale dichiarato nella SI_1A ed i presenti al 31.12.2017 rilevati in Tabella 1 (Squadratura 7)</v>
      </c>
      <c r="B3" s="1536"/>
      <c r="C3" s="1536"/>
      <c r="D3" s="1536"/>
    </row>
    <row r="4" spans="1:9" ht="11.25" customHeight="1" thickBot="1">
      <c r="A4" s="316"/>
      <c r="B4" s="5"/>
      <c r="C4" s="5"/>
      <c r="D4" s="5"/>
    </row>
    <row r="5" spans="1:9" ht="18" customHeight="1">
      <c r="A5" s="1537" t="s">
        <v>568</v>
      </c>
      <c r="B5" s="1538"/>
      <c r="C5" s="1539" t="str">
        <f>IF('SI_1A(COMUNI-PROVINCE-CITTA_ME)'!I180=0,"A T T E N Z I O N E :  TABELLA NON COMPILATA","")</f>
        <v/>
      </c>
      <c r="D5" s="1540"/>
    </row>
    <row r="6" spans="1:9" s="195" customFormat="1" ht="20.399999999999999">
      <c r="A6" s="1534" t="s">
        <v>570</v>
      </c>
      <c r="B6" s="183" t="str">
        <f>"Presenti 31.12."&amp;'t1'!$M$1&amp;" (Tab 1)"</f>
        <v>Presenti 31.12.2017 (Tab 1)</v>
      </c>
      <c r="C6" s="183" t="s">
        <v>569</v>
      </c>
      <c r="D6" s="693" t="s">
        <v>224</v>
      </c>
    </row>
    <row r="7" spans="1:9" s="193" customFormat="1">
      <c r="A7" s="1535"/>
      <c r="B7" s="189" t="s">
        <v>234</v>
      </c>
      <c r="C7" s="190" t="s">
        <v>235</v>
      </c>
      <c r="D7" s="694" t="s">
        <v>567</v>
      </c>
    </row>
    <row r="8" spans="1:9" ht="14.1" customHeight="1">
      <c r="A8" s="152" t="s">
        <v>571</v>
      </c>
      <c r="B8" s="334">
        <f>SUM('t1'!$L$13:$M$14)</f>
        <v>0</v>
      </c>
      <c r="C8" s="335">
        <f>'SI_1A(COMUNI-PROVINCE-CITTA_ME)'!F55</f>
        <v>0</v>
      </c>
      <c r="D8" s="695" t="str">
        <f>IF(C8&gt;B8,"ERRORE","OK")</f>
        <v>OK</v>
      </c>
      <c r="I8" s="859"/>
    </row>
    <row r="9" spans="1:9" ht="14.1" customHeight="1">
      <c r="A9" s="152" t="s">
        <v>328</v>
      </c>
      <c r="B9" s="334">
        <f>SUM('t1'!$L$16:$M$25)</f>
        <v>1</v>
      </c>
      <c r="C9" s="335">
        <f>'SI_1A(COMUNI-PROVINCE-CITTA_ME)'!F58</f>
        <v>0</v>
      </c>
      <c r="D9" s="695" t="str">
        <f>IF(C9&gt;B9,"ERRORE","OK")</f>
        <v>OK</v>
      </c>
      <c r="I9" s="859"/>
    </row>
    <row r="10" spans="1:9" ht="14.1" customHeight="1" thickBot="1">
      <c r="A10" s="696" t="s">
        <v>330</v>
      </c>
      <c r="B10" s="697">
        <f>SUM('t1'!$L$26:$M$30)</f>
        <v>3</v>
      </c>
      <c r="C10" s="698">
        <f>'SI_1A(COMUNI-PROVINCE-CITTA_ME)'!F61</f>
        <v>1</v>
      </c>
      <c r="D10" s="699" t="str">
        <f>IF(C10&gt;B10,"ERRORE","OK")</f>
        <v>OK</v>
      </c>
      <c r="I10" s="859"/>
    </row>
    <row r="11" spans="1:9" ht="10.8" thickBot="1"/>
    <row r="12" spans="1:9" ht="18" customHeight="1">
      <c r="A12" s="1537" t="s">
        <v>572</v>
      </c>
      <c r="B12" s="1538"/>
      <c r="C12" s="1532" t="str">
        <f>IF('SI_1A(UNIONE_COMUNI)'!I180=0,"A T T E N Z I O N E :  TABELLA NON COMPILATA","")</f>
        <v>A T T E N Z I O N E :  TABELLA NON COMPILATA</v>
      </c>
      <c r="D12" s="1533"/>
    </row>
    <row r="13" spans="1:9" s="195" customFormat="1" ht="20.399999999999999">
      <c r="A13" s="1534" t="s">
        <v>570</v>
      </c>
      <c r="B13" s="183" t="str">
        <f>"Presenti 31.12."&amp;'t1'!$M$1&amp;" (Tab 1)"</f>
        <v>Presenti 31.12.2017 (Tab 1)</v>
      </c>
      <c r="C13" s="183" t="s">
        <v>569</v>
      </c>
      <c r="D13" s="693" t="s">
        <v>224</v>
      </c>
    </row>
    <row r="14" spans="1:9" s="193" customFormat="1">
      <c r="A14" s="1535"/>
      <c r="B14" s="189" t="s">
        <v>234</v>
      </c>
      <c r="C14" s="190" t="s">
        <v>235</v>
      </c>
      <c r="D14" s="694" t="s">
        <v>567</v>
      </c>
    </row>
    <row r="15" spans="1:9" ht="14.1" customHeight="1">
      <c r="A15" s="152" t="s">
        <v>571</v>
      </c>
      <c r="B15" s="334">
        <f>SUM('t1'!$L$13:$M$14)</f>
        <v>0</v>
      </c>
      <c r="C15" s="857">
        <f>'SI_1A(UNIONE_COMUNI)'!F55</f>
        <v>0</v>
      </c>
      <c r="D15" s="695" t="str">
        <f>IF(C15&gt;B15,"ERRORE","OK")</f>
        <v>OK</v>
      </c>
    </row>
    <row r="16" spans="1:9" ht="14.1" customHeight="1">
      <c r="A16" s="152" t="s">
        <v>328</v>
      </c>
      <c r="B16" s="334">
        <f>SUM('t1'!$L$16:$M$25)</f>
        <v>1</v>
      </c>
      <c r="C16" s="335">
        <f>'SI_1A(UNIONE_COMUNI)'!F58</f>
        <v>0</v>
      </c>
      <c r="D16" s="695" t="str">
        <f>IF(C16&gt;B16,"ERRORE","OK")</f>
        <v>OK</v>
      </c>
    </row>
    <row r="17" spans="1:5" ht="14.1" customHeight="1" thickBot="1">
      <c r="A17" s="696" t="s">
        <v>330</v>
      </c>
      <c r="B17" s="697">
        <f>SUM('t1'!$L$26:$M$30)</f>
        <v>3</v>
      </c>
      <c r="C17" s="698">
        <f>'SI_1A(UNIONE_COMUNI)'!F61</f>
        <v>0</v>
      </c>
      <c r="D17" s="699" t="str">
        <f>IF(C17&gt;B17,"ERRORE","OK")</f>
        <v>OK</v>
      </c>
    </row>
    <row r="18" spans="1:5" ht="10.8" thickBot="1"/>
    <row r="19" spans="1:5" ht="18" customHeight="1">
      <c r="A19" s="1537" t="s">
        <v>573</v>
      </c>
      <c r="B19" s="1538"/>
      <c r="C19" s="1532" t="str">
        <f>IF('SI_1A(COMUNITA_MONTANE)'!I180=0,"A T T E N Z I O N E :  TABELLA NON COMPILATA","")</f>
        <v>A T T E N Z I O N E :  TABELLA NON COMPILATA</v>
      </c>
      <c r="D19" s="1533"/>
    </row>
    <row r="20" spans="1:5" s="195" customFormat="1" ht="20.399999999999999">
      <c r="A20" s="1534" t="s">
        <v>570</v>
      </c>
      <c r="B20" s="183" t="str">
        <f>"Presenti 31.12."&amp;'t1'!$M$1&amp;" (Tab 1)"</f>
        <v>Presenti 31.12.2017 (Tab 1)</v>
      </c>
      <c r="C20" s="183" t="s">
        <v>569</v>
      </c>
      <c r="D20" s="693" t="s">
        <v>224</v>
      </c>
    </row>
    <row r="21" spans="1:5" s="193" customFormat="1">
      <c r="A21" s="1535"/>
      <c r="B21" s="189" t="s">
        <v>234</v>
      </c>
      <c r="C21" s="190" t="s">
        <v>235</v>
      </c>
      <c r="D21" s="694" t="s">
        <v>567</v>
      </c>
    </row>
    <row r="22" spans="1:5" ht="14.1" customHeight="1">
      <c r="A22" s="152" t="s">
        <v>571</v>
      </c>
      <c r="B22" s="334">
        <f>SUM('t1'!$L$13:$M$14)</f>
        <v>0</v>
      </c>
      <c r="C22" s="857">
        <f>'SI_1A(COMUNITA_MONTANE)'!F55</f>
        <v>0</v>
      </c>
      <c r="D22" s="695" t="str">
        <f>IF(C22&gt;B22,"ERRORE","OK")</f>
        <v>OK</v>
      </c>
    </row>
    <row r="23" spans="1:5" ht="14.1" customHeight="1">
      <c r="A23" s="152" t="s">
        <v>328</v>
      </c>
      <c r="B23" s="334">
        <f>SUM('t1'!$L$16:$M$25)</f>
        <v>1</v>
      </c>
      <c r="C23" s="335">
        <f>'SI_1A(COMUNITA_MONTANE)'!F58</f>
        <v>0</v>
      </c>
      <c r="D23" s="695" t="str">
        <f>IF(C23&gt;B23,"ERRORE","OK")</f>
        <v>OK</v>
      </c>
    </row>
    <row r="24" spans="1:5" ht="14.1" customHeight="1" thickBot="1">
      <c r="A24" s="696" t="s">
        <v>330</v>
      </c>
      <c r="B24" s="697">
        <f>SUM('t1'!$L$26:$M$30)</f>
        <v>3</v>
      </c>
      <c r="C24" s="698">
        <f>'SI_1A(COMUNITA_MONTANE)'!F61</f>
        <v>0</v>
      </c>
      <c r="D24" s="699" t="str">
        <f>IF(C24&gt;B24,"ERRORE","OK")</f>
        <v>OK</v>
      </c>
      <c r="E24" s="5">
        <f>COUNTIF(D8:D10,"ERRORE")+COUNTIF(D15:D17,"ERRORE")+COUNTIF(D22:D24,"ERRORE")</f>
        <v>0</v>
      </c>
    </row>
  </sheetData>
  <sheetProtection password="EA98" sheet="1" formatColumns="0" selectLockedCells="1" selectUnlockedCells="1"/>
  <mergeCells count="12">
    <mergeCell ref="A19:B19"/>
    <mergeCell ref="C12:D12"/>
    <mergeCell ref="C19:D19"/>
    <mergeCell ref="A13:A14"/>
    <mergeCell ref="A20:A21"/>
    <mergeCell ref="A1:D1"/>
    <mergeCell ref="A3:D3"/>
    <mergeCell ref="A2:D2"/>
    <mergeCell ref="A6:A7"/>
    <mergeCell ref="A5:B5"/>
    <mergeCell ref="C5:D5"/>
    <mergeCell ref="A12:B12"/>
  </mergeCells>
  <phoneticPr fontId="30" type="noConversion"/>
  <printOptions horizontalCentered="1" verticalCentered="1"/>
  <pageMargins left="0.2" right="0" top="0.17" bottom="0.16" header="0.18" footer="0.2"/>
  <pageSetup paperSize="9" orientation="landscape" horizontalDpi="300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26"/>
  <dimension ref="A1:M21"/>
  <sheetViews>
    <sheetView showGridLines="0" workbookViewId="0">
      <selection activeCell="C2" sqref="C2:E2"/>
    </sheetView>
  </sheetViews>
  <sheetFormatPr defaultColWidth="9.28515625" defaultRowHeight="10.199999999999999"/>
  <cols>
    <col min="1" max="1" width="57.85546875" style="5" customWidth="1"/>
    <col min="2" max="3" width="19.85546875" style="5" customWidth="1"/>
    <col min="4" max="4" width="26.85546875" style="5" customWidth="1"/>
    <col min="5" max="5" width="25.140625" style="5" customWidth="1"/>
    <col min="6" max="16384" width="9.28515625" style="5"/>
  </cols>
  <sheetData>
    <row r="1" spans="1:13" ht="29.4" customHeight="1">
      <c r="A1" s="1442" t="str">
        <f>'t1'!A1</f>
        <v>COMPARTO REGIONI ED AUTONOMIE LOCALI - anno 2017</v>
      </c>
      <c r="B1" s="1442"/>
      <c r="C1" s="1442"/>
      <c r="D1" s="1442"/>
      <c r="E1" s="311"/>
      <c r="F1" s="314"/>
      <c r="G1" s="314"/>
      <c r="H1" s="314"/>
      <c r="I1" s="314"/>
      <c r="K1" s="3"/>
      <c r="M1"/>
    </row>
    <row r="2" spans="1:13" ht="16.2" thickBot="1">
      <c r="A2" s="1003" t="s">
        <v>890</v>
      </c>
      <c r="C2" s="1524"/>
      <c r="D2" s="1524"/>
      <c r="E2" s="1524"/>
      <c r="F2" s="315"/>
      <c r="G2" s="315"/>
      <c r="H2" s="315"/>
      <c r="I2" s="315"/>
      <c r="K2" s="3"/>
      <c r="M2"/>
    </row>
    <row r="3" spans="1:13" ht="30" customHeight="1" thickBot="1">
      <c r="A3" s="1541" t="s">
        <v>889</v>
      </c>
      <c r="B3" s="1542"/>
      <c r="C3" s="1542"/>
      <c r="D3" s="1542"/>
      <c r="E3" s="1543"/>
    </row>
    <row r="4" spans="1:13" s="197" customFormat="1" ht="30.6">
      <c r="A4" s="713" t="s">
        <v>877</v>
      </c>
      <c r="B4" s="714" t="s">
        <v>875</v>
      </c>
      <c r="C4" s="714" t="s">
        <v>268</v>
      </c>
      <c r="D4" s="715" t="s">
        <v>269</v>
      </c>
      <c r="E4" s="716" t="s">
        <v>699</v>
      </c>
    </row>
    <row r="5" spans="1:13" ht="20.25" customHeight="1">
      <c r="A5" s="1004" t="s">
        <v>67</v>
      </c>
      <c r="B5" s="861">
        <f>SI_1!G56</f>
        <v>0</v>
      </c>
      <c r="C5" s="203">
        <f>'t14'!D12</f>
        <v>0</v>
      </c>
      <c r="D5" s="206" t="str">
        <f>IF(B5=0,IF(C5=0,"OK","MANCANO LE UNITA'"),IF(C5=0,"MANCANO LE SPESE","OK"))</f>
        <v>OK</v>
      </c>
      <c r="E5" s="202" t="str">
        <f>IF(AND(B5&gt;0,C5&gt;0),C5/B5," ")</f>
        <v xml:space="preserve"> </v>
      </c>
    </row>
    <row r="6" spans="1:13" ht="20.25" customHeight="1">
      <c r="A6" s="1004" t="s">
        <v>33</v>
      </c>
      <c r="B6" s="861">
        <f>SI_1!G59</f>
        <v>0</v>
      </c>
      <c r="C6" s="203">
        <f>'t14'!D13</f>
        <v>0</v>
      </c>
      <c r="D6" s="206" t="str">
        <f>IF(B6=0,IF(C6=0,"OK","MANCANO LE UNITA'"),IF(C6=0,"MANCANO LE SPESE","OK"))</f>
        <v>OK</v>
      </c>
      <c r="E6" s="202" t="str">
        <f>IF(AND(B6&gt;0,C6&gt;0),C6/B6," ")</f>
        <v xml:space="preserve"> </v>
      </c>
    </row>
    <row r="7" spans="1:13" ht="20.25" customHeight="1" thickBot="1">
      <c r="A7" s="1005" t="s">
        <v>34</v>
      </c>
      <c r="B7" s="862">
        <f>SI_1!G62</f>
        <v>0</v>
      </c>
      <c r="C7" s="204">
        <f>'t14'!D14</f>
        <v>0</v>
      </c>
      <c r="D7" s="207" t="str">
        <f>IF(B7=0,IF(C7=0,"OK","MANCANO LE UNITA'"),IF(C7=0,"MANCANO LE SPESE","OK"))</f>
        <v>OK</v>
      </c>
      <c r="E7" s="503" t="str">
        <f>IF(AND(B7&gt;0,C7&gt;0),C7/B7," ")</f>
        <v xml:space="preserve"> </v>
      </c>
    </row>
    <row r="10" spans="1:13" ht="18" thickBot="1">
      <c r="A10" s="1002" t="s">
        <v>888</v>
      </c>
    </row>
    <row r="11" spans="1:13" ht="30" customHeight="1" thickBot="1">
      <c r="A11" s="1541" t="s">
        <v>887</v>
      </c>
      <c r="B11" s="1542"/>
      <c r="C11" s="1542"/>
      <c r="D11" s="1542"/>
      <c r="E11" s="1543"/>
    </row>
    <row r="12" spans="1:13" s="197" customFormat="1" ht="31.2" thickBot="1">
      <c r="A12" s="713" t="s">
        <v>876</v>
      </c>
      <c r="B12" s="714" t="s">
        <v>869</v>
      </c>
      <c r="C12" s="714" t="s">
        <v>268</v>
      </c>
      <c r="D12" s="715" t="s">
        <v>269</v>
      </c>
      <c r="E12" s="716" t="s">
        <v>699</v>
      </c>
    </row>
    <row r="13" spans="1:13" ht="20.25" customHeight="1">
      <c r="A13" s="1004" t="s">
        <v>228</v>
      </c>
      <c r="B13" s="860">
        <f>'t2'!C11+'t2'!D11</f>
        <v>0</v>
      </c>
      <c r="C13" s="501">
        <f>'t14'!D16</f>
        <v>0</v>
      </c>
      <c r="D13" s="502" t="str">
        <f>IF(B13=0,IF(C13=0,"OK","MANCANO LE UNITA'"),IF(C13=0,"MANCANO LE SPESE","OK"))</f>
        <v>OK</v>
      </c>
      <c r="E13" s="201" t="str">
        <f>IF(AND(B13&gt;0,C13&gt;0),C13/B13," ")</f>
        <v xml:space="preserve"> </v>
      </c>
    </row>
    <row r="14" spans="1:13" ht="20.25" customHeight="1">
      <c r="A14" s="1004" t="s">
        <v>229</v>
      </c>
      <c r="B14" s="861">
        <f>'t2'!E11+'t2'!F11</f>
        <v>0</v>
      </c>
      <c r="C14" s="203">
        <f>'t14'!D17</f>
        <v>0</v>
      </c>
      <c r="D14" s="206" t="str">
        <f>IF(B14=0,IF(C14=0,"OK","MANCANO LE UNITA'"),IF(C14=0,"MANCANO LE SPESE","OK"))</f>
        <v>OK</v>
      </c>
      <c r="E14" s="202" t="str">
        <f>IF(AND(B14&gt;0,C14&gt;0),C14/B14," ")</f>
        <v xml:space="preserve"> </v>
      </c>
    </row>
    <row r="15" spans="1:13" ht="20.25" customHeight="1">
      <c r="A15" s="1004" t="s">
        <v>79</v>
      </c>
      <c r="B15" s="861">
        <f>'t2'!G11+'t2'!H11</f>
        <v>0</v>
      </c>
      <c r="C15" s="203">
        <f>'t14'!D23</f>
        <v>0</v>
      </c>
      <c r="D15" s="206" t="str">
        <f>IF(B15=0,IF(C15=0,"OK","MANCANO LE UNITA'"),IF(C15=0,"MANCANO LE SPESE","OK"))</f>
        <v>OK</v>
      </c>
      <c r="E15" s="202" t="str">
        <f>IF(AND(B15&gt;0,C15&gt;0),C15/B15," ")</f>
        <v xml:space="preserve"> </v>
      </c>
    </row>
    <row r="16" spans="1:13" ht="20.25" customHeight="1">
      <c r="A16" s="1004" t="s">
        <v>230</v>
      </c>
      <c r="B16" s="861">
        <f>'t2'!I11+'t2'!J11</f>
        <v>0</v>
      </c>
      <c r="C16" s="203">
        <f>'t14'!D24</f>
        <v>0</v>
      </c>
      <c r="D16" s="206" t="str">
        <f>IF(B16=0,IF(C16=0,"OK","MANCANO LE UNITA'"),IF(C16=0,"MANCANO LE SPESE","OK"))</f>
        <v>OK</v>
      </c>
      <c r="E16" s="202" t="str">
        <f>IF(AND(B16&gt;0,C16&gt;0),C16/B16," ")</f>
        <v xml:space="preserve"> </v>
      </c>
    </row>
    <row r="17" spans="1:5" ht="13.95" customHeight="1" thickBot="1">
      <c r="A17" s="995"/>
      <c r="B17" s="996"/>
      <c r="C17" s="996"/>
      <c r="D17" s="996"/>
      <c r="E17" s="997"/>
    </row>
    <row r="18" spans="1:5" s="197" customFormat="1" ht="30.6">
      <c r="A18" s="516" t="s">
        <v>697</v>
      </c>
      <c r="B18" s="517" t="s">
        <v>698</v>
      </c>
      <c r="C18" s="517" t="s">
        <v>268</v>
      </c>
      <c r="D18" s="518" t="s">
        <v>701</v>
      </c>
      <c r="E18" s="739" t="s">
        <v>700</v>
      </c>
    </row>
    <row r="19" spans="1:5" ht="22.8">
      <c r="A19" s="1006" t="str">
        <f>'t14'!A10</f>
        <v>SOMME CORRISPOSTE AD AGENZIA DI SOMMINISTRAZIONE(INTERINALI)</v>
      </c>
      <c r="B19" s="176" t="str">
        <f>'t14'!B10</f>
        <v>L105</v>
      </c>
      <c r="C19" s="750">
        <f>'t14'!D10</f>
        <v>0</v>
      </c>
      <c r="D19" s="740" t="str">
        <f>(IF(AND(C19=0,C20&gt;0),"INSERIRE SOMME SPETTANTI ALL'AGENZIA (L105)","OK"))</f>
        <v>OK</v>
      </c>
      <c r="E19" s="1544" t="str">
        <f>(IF(AND(C19&gt;0,C20&gt;0),C19/C20," "))</f>
        <v xml:space="preserve"> </v>
      </c>
    </row>
    <row r="20" spans="1:5" ht="22.8">
      <c r="A20" s="1006" t="str">
        <f>'t14'!A23</f>
        <v>ONERI PER I CONTRATTI DI SOMMINISTRAZIONE(INTERINALI)</v>
      </c>
      <c r="B20" s="717" t="str">
        <f>'t14'!B23</f>
        <v>P062</v>
      </c>
      <c r="C20" s="751">
        <f>'t14'!D23</f>
        <v>0</v>
      </c>
      <c r="D20" s="741" t="str">
        <f>(IF(AND(C20=0,C19&gt;0),"INSERIRE RETRIBUZIONI PER INTERINALI (P062)","OK"))</f>
        <v>OK</v>
      </c>
      <c r="E20" s="1545"/>
    </row>
    <row r="21" spans="1:5" ht="40.5" customHeight="1" thickBot="1">
      <c r="A21" s="1547" t="s">
        <v>720</v>
      </c>
      <c r="B21" s="1548"/>
      <c r="C21" s="1549"/>
      <c r="D21" s="742" t="str">
        <f>(IF(AND(C19&gt;0,C20&gt;0),IF(C19&gt;(C20/100*30),"ATTENZIONE: la voce L105 supera il 30% della voce P062. L'IN1 andrà giustificata","OK"),"OK"))</f>
        <v>OK</v>
      </c>
      <c r="E21" s="1546"/>
    </row>
  </sheetData>
  <sheetProtection password="EA98" sheet="1" formatColumns="0" selectLockedCells="1" selectUnlockedCells="1"/>
  <mergeCells count="6">
    <mergeCell ref="A3:E3"/>
    <mergeCell ref="A1:D1"/>
    <mergeCell ref="C2:E2"/>
    <mergeCell ref="E19:E21"/>
    <mergeCell ref="A21:C21"/>
    <mergeCell ref="A11:E11"/>
  </mergeCells>
  <phoneticPr fontId="30" type="noConversion"/>
  <conditionalFormatting sqref="D5:D7 D13:D16 D19:D21">
    <cfRule type="notContainsText" dxfId="1" priority="1" stopIfTrue="1" operator="notContains" text="OK">
      <formula>ISERROR(SEARCH("OK",D5))</formula>
    </cfRule>
  </conditionalFormatting>
  <printOptions horizontalCentered="1" verticalCentered="1"/>
  <pageMargins left="0" right="0" top="0.19685039370078741" bottom="0.31496062992125984" header="0.51181102362204722" footer="0.51181102362204722"/>
  <pageSetup paperSize="9" scale="90" orientation="landscape" horizontalDpi="300" verticalDpi="4294967292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27">
    <pageSetUpPr fitToPage="1"/>
  </sheetPr>
  <dimension ref="A1:M49"/>
  <sheetViews>
    <sheetView showGridLines="0" workbookViewId="0">
      <pane ySplit="5" topLeftCell="A6" activePane="bottomLeft" state="frozen"/>
      <selection activeCell="A2" sqref="A2"/>
      <selection pane="bottomLeft" activeCell="D2" sqref="D2:I2"/>
    </sheetView>
  </sheetViews>
  <sheetFormatPr defaultRowHeight="10.199999999999999"/>
  <cols>
    <col min="1" max="1" width="38.85546875" style="5" customWidth="1"/>
    <col min="2" max="2" width="11.28515625" style="7" customWidth="1"/>
    <col min="3" max="3" width="13.140625" style="7" customWidth="1"/>
    <col min="4" max="4" width="17.85546875" style="7" customWidth="1"/>
    <col min="5" max="6" width="15.85546875" style="7" customWidth="1"/>
    <col min="7" max="8" width="15.85546875" style="110" customWidth="1"/>
    <col min="9" max="9" width="18.28515625" style="110" customWidth="1"/>
    <col min="10" max="10" width="9.28515625" style="110" customWidth="1"/>
  </cols>
  <sheetData>
    <row r="1" spans="1:13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311"/>
      <c r="K1" s="3"/>
      <c r="M1"/>
    </row>
    <row r="2" spans="1:13" s="5" customFormat="1" ht="21" customHeight="1">
      <c r="D2" s="1524"/>
      <c r="E2" s="1524"/>
      <c r="F2" s="1524"/>
      <c r="G2" s="1524"/>
      <c r="H2" s="1524"/>
      <c r="I2" s="1524"/>
      <c r="J2" s="315"/>
      <c r="K2" s="3"/>
      <c r="M2"/>
    </row>
    <row r="3" spans="1:13" s="5" customFormat="1" ht="21" customHeight="1">
      <c r="A3" s="196" t="s">
        <v>296</v>
      </c>
      <c r="B3" s="7"/>
      <c r="F3" s="7"/>
    </row>
    <row r="4" spans="1:13" ht="51">
      <c r="A4" s="181" t="s">
        <v>270</v>
      </c>
      <c r="B4" s="183" t="s">
        <v>232</v>
      </c>
      <c r="C4" s="182" t="s">
        <v>271</v>
      </c>
      <c r="D4" s="182" t="s">
        <v>275</v>
      </c>
      <c r="E4" s="182" t="s">
        <v>276</v>
      </c>
      <c r="F4" s="182" t="s">
        <v>277</v>
      </c>
      <c r="G4" s="182" t="s">
        <v>231</v>
      </c>
      <c r="H4" s="182" t="s">
        <v>278</v>
      </c>
      <c r="I4" s="182" t="s">
        <v>631</v>
      </c>
    </row>
    <row r="5" spans="1:13" s="200" customFormat="1">
      <c r="A5" s="180"/>
      <c r="B5" s="194"/>
      <c r="C5" s="198" t="s">
        <v>234</v>
      </c>
      <c r="D5" s="198" t="s">
        <v>235</v>
      </c>
      <c r="E5" s="198" t="s">
        <v>272</v>
      </c>
      <c r="F5" s="198" t="s">
        <v>237</v>
      </c>
      <c r="G5" s="198" t="s">
        <v>273</v>
      </c>
      <c r="H5" s="198" t="s">
        <v>274</v>
      </c>
      <c r="I5" s="198" t="s">
        <v>632</v>
      </c>
      <c r="J5" s="199"/>
    </row>
    <row r="6" spans="1:13" ht="13.2">
      <c r="A6" s="139" t="str">
        <f>'t1'!A6</f>
        <v>SEGRETARIO A</v>
      </c>
      <c r="B6" s="318" t="str">
        <f>'t1'!B6</f>
        <v>0D0102</v>
      </c>
      <c r="C6" s="336">
        <f>'t12'!C6</f>
        <v>0</v>
      </c>
      <c r="D6" s="337">
        <f>'t12'!D6</f>
        <v>0</v>
      </c>
      <c r="E6" s="338" t="str">
        <f>IF(C6=0," ",D6/C6*12)</f>
        <v xml:space="preserve"> </v>
      </c>
      <c r="F6" s="358">
        <v>39979.29</v>
      </c>
      <c r="G6" s="338" t="str">
        <f t="shared" ref="G6:G49" si="0">IF(E6=" "," ",E6-F6)</f>
        <v xml:space="preserve"> </v>
      </c>
      <c r="H6" s="339" t="str">
        <f t="shared" ref="H6:H49" si="1">IF(E6=" "," ",IF(F6=0," ",G6/F6))</f>
        <v xml:space="preserve"> </v>
      </c>
      <c r="I6" s="323" t="str">
        <f>IF(E6=" "," ",IF(F6=0," ",IF(ABS(H6)&gt;0.02,"ERRORE","OK")))</f>
        <v xml:space="preserve"> </v>
      </c>
    </row>
    <row r="7" spans="1:13" ht="13.2">
      <c r="A7" s="139" t="str">
        <f>'t1'!A7</f>
        <v>SEGRETARIO B</v>
      </c>
      <c r="B7" s="318" t="str">
        <f>'t1'!B7</f>
        <v>0D0103</v>
      </c>
      <c r="C7" s="336">
        <f>'t12'!C7</f>
        <v>0</v>
      </c>
      <c r="D7" s="337">
        <f>'t12'!D7</f>
        <v>0</v>
      </c>
      <c r="E7" s="338" t="str">
        <f t="shared" ref="E7:E40" si="2">IF(C7=0," ",D7/C7*12)</f>
        <v xml:space="preserve"> </v>
      </c>
      <c r="F7" s="358">
        <v>39979.29</v>
      </c>
      <c r="G7" s="338" t="str">
        <f t="shared" si="0"/>
        <v xml:space="preserve"> </v>
      </c>
      <c r="H7" s="339" t="str">
        <f t="shared" si="1"/>
        <v xml:space="preserve"> </v>
      </c>
      <c r="I7" s="323" t="str">
        <f t="shared" ref="I7:I49" si="3">IF(E7=" "," ",IF(F7=0," ",IF(ABS(H7)&gt;0.02,"ERRORE","OK")))</f>
        <v xml:space="preserve"> </v>
      </c>
    </row>
    <row r="8" spans="1:13" ht="13.2">
      <c r="A8" s="139" t="str">
        <f>'t1'!A8</f>
        <v>SEGRETARIO C</v>
      </c>
      <c r="B8" s="318" t="str">
        <f>'t1'!B8</f>
        <v>0D0485</v>
      </c>
      <c r="C8" s="336">
        <f>'t12'!C8</f>
        <v>0</v>
      </c>
      <c r="D8" s="337">
        <f>'t12'!D8</f>
        <v>0</v>
      </c>
      <c r="E8" s="338" t="str">
        <f t="shared" si="2"/>
        <v xml:space="preserve"> </v>
      </c>
      <c r="F8" s="358">
        <v>31983.43</v>
      </c>
      <c r="G8" s="338" t="str">
        <f t="shared" si="0"/>
        <v xml:space="preserve"> </v>
      </c>
      <c r="H8" s="339" t="str">
        <f t="shared" si="1"/>
        <v xml:space="preserve"> </v>
      </c>
      <c r="I8" s="323" t="str">
        <f t="shared" si="3"/>
        <v xml:space="preserve"> </v>
      </c>
    </row>
    <row r="9" spans="1:13" ht="13.2">
      <c r="A9" s="139" t="str">
        <f>'t1'!A9</f>
        <v>SEGRETARIO GENERALE CCIAA</v>
      </c>
      <c r="B9" s="318" t="str">
        <f>'t1'!B9</f>
        <v>0D0104</v>
      </c>
      <c r="C9" s="336">
        <f>'t12'!C9</f>
        <v>0</v>
      </c>
      <c r="D9" s="337">
        <f>'t12'!D9</f>
        <v>0</v>
      </c>
      <c r="E9" s="338" t="str">
        <f t="shared" si="2"/>
        <v xml:space="preserve"> </v>
      </c>
      <c r="F9" s="358"/>
      <c r="G9" s="338" t="str">
        <f t="shared" si="0"/>
        <v xml:space="preserve"> </v>
      </c>
      <c r="H9" s="339" t="str">
        <f t="shared" si="1"/>
        <v xml:space="preserve"> </v>
      </c>
      <c r="I9" s="323" t="str">
        <f t="shared" si="3"/>
        <v xml:space="preserve"> </v>
      </c>
    </row>
    <row r="10" spans="1:13" ht="13.2">
      <c r="A10" s="139" t="str">
        <f>'t1'!A10</f>
        <v>DIRETTORE  GENERALE</v>
      </c>
      <c r="B10" s="318" t="str">
        <f>'t1'!B10</f>
        <v>0D0097</v>
      </c>
      <c r="C10" s="336">
        <f>'t12'!C10</f>
        <v>0</v>
      </c>
      <c r="D10" s="337">
        <f>'t12'!D10</f>
        <v>0</v>
      </c>
      <c r="E10" s="338" t="str">
        <f t="shared" si="2"/>
        <v xml:space="preserve"> </v>
      </c>
      <c r="F10" s="358"/>
      <c r="G10" s="338" t="str">
        <f t="shared" si="0"/>
        <v xml:space="preserve"> </v>
      </c>
      <c r="H10" s="339" t="str">
        <f t="shared" si="1"/>
        <v xml:space="preserve"> </v>
      </c>
      <c r="I10" s="323" t="str">
        <f t="shared" si="3"/>
        <v xml:space="preserve"> </v>
      </c>
    </row>
    <row r="11" spans="1:13" ht="13.2">
      <c r="A11" s="139" t="str">
        <f>'t1'!A11</f>
        <v>DIRIGENTE FUORI D.O. art.110 c.2 TUEL</v>
      </c>
      <c r="B11" s="318" t="str">
        <f>'t1'!B11</f>
        <v>0D0098</v>
      </c>
      <c r="C11" s="336">
        <f>'t12'!C11</f>
        <v>0</v>
      </c>
      <c r="D11" s="337">
        <f>'t12'!D11</f>
        <v>0</v>
      </c>
      <c r="E11" s="338" t="str">
        <f t="shared" si="2"/>
        <v xml:space="preserve"> </v>
      </c>
      <c r="F11" s="358"/>
      <c r="G11" s="338" t="str">
        <f t="shared" si="0"/>
        <v xml:space="preserve"> </v>
      </c>
      <c r="H11" s="339" t="str">
        <f t="shared" si="1"/>
        <v xml:space="preserve"> </v>
      </c>
      <c r="I11" s="323" t="str">
        <f t="shared" si="3"/>
        <v xml:space="preserve"> </v>
      </c>
    </row>
    <row r="12" spans="1:13" ht="13.2">
      <c r="A12" s="139" t="str">
        <f>'t1'!A12</f>
        <v>ALTE SPECIALIZZ. FUORI D.O.art.110 c.2 TUEL</v>
      </c>
      <c r="B12" s="318" t="str">
        <f>'t1'!B12</f>
        <v>0D0095</v>
      </c>
      <c r="C12" s="336">
        <f>'t12'!C12</f>
        <v>0</v>
      </c>
      <c r="D12" s="337">
        <f>'t12'!D12</f>
        <v>0</v>
      </c>
      <c r="E12" s="338" t="str">
        <f t="shared" si="2"/>
        <v xml:space="preserve"> </v>
      </c>
      <c r="F12" s="358"/>
      <c r="G12" s="338" t="str">
        <f t="shared" si="0"/>
        <v xml:space="preserve"> </v>
      </c>
      <c r="H12" s="339" t="str">
        <f t="shared" si="1"/>
        <v xml:space="preserve"> </v>
      </c>
      <c r="I12" s="323" t="str">
        <f t="shared" si="3"/>
        <v xml:space="preserve"> </v>
      </c>
    </row>
    <row r="13" spans="1:13" ht="13.2">
      <c r="A13" s="139" t="str">
        <f>'t1'!A13</f>
        <v>DIRIGENTE A TEMPO INDETERMINATO</v>
      </c>
      <c r="B13" s="318" t="str">
        <f>'t1'!B13</f>
        <v>0D0164</v>
      </c>
      <c r="C13" s="336">
        <f>'t12'!C13</f>
        <v>0</v>
      </c>
      <c r="D13" s="337">
        <f>'t12'!D13</f>
        <v>0</v>
      </c>
      <c r="E13" s="338" t="str">
        <f t="shared" si="2"/>
        <v xml:space="preserve"> </v>
      </c>
      <c r="F13" s="358">
        <v>39979.29</v>
      </c>
      <c r="G13" s="338" t="str">
        <f t="shared" si="0"/>
        <v xml:space="preserve"> </v>
      </c>
      <c r="H13" s="339" t="str">
        <f t="shared" si="1"/>
        <v xml:space="preserve"> </v>
      </c>
      <c r="I13" s="323" t="str">
        <f t="shared" si="3"/>
        <v xml:space="preserve"> </v>
      </c>
    </row>
    <row r="14" spans="1:13" ht="13.2">
      <c r="A14" s="139" t="str">
        <f>'t1'!A14</f>
        <v>DIRIGENTE A TEMPO DET.TO  ART.110 C.1 TUEL</v>
      </c>
      <c r="B14" s="318" t="str">
        <f>'t1'!B14</f>
        <v>0D0165</v>
      </c>
      <c r="C14" s="336">
        <f>'t12'!C14</f>
        <v>0</v>
      </c>
      <c r="D14" s="337">
        <f>'t12'!D14</f>
        <v>0</v>
      </c>
      <c r="E14" s="338" t="str">
        <f t="shared" si="2"/>
        <v xml:space="preserve"> </v>
      </c>
      <c r="F14" s="358">
        <v>39979.29</v>
      </c>
      <c r="G14" s="338" t="str">
        <f t="shared" si="0"/>
        <v xml:space="preserve"> </v>
      </c>
      <c r="H14" s="339" t="str">
        <f t="shared" si="1"/>
        <v xml:space="preserve"> </v>
      </c>
      <c r="I14" s="323" t="str">
        <f t="shared" si="3"/>
        <v xml:space="preserve"> </v>
      </c>
    </row>
    <row r="15" spans="1:13" ht="13.2">
      <c r="A15" s="139" t="str">
        <f>'t1'!A15</f>
        <v>ALTE SPECIALIZZ. IN D.O. art.110 c.1 TUEL</v>
      </c>
      <c r="B15" s="318" t="str">
        <f>'t1'!B15</f>
        <v>0D0I95</v>
      </c>
      <c r="C15" s="336">
        <f>'t12'!C15</f>
        <v>0</v>
      </c>
      <c r="D15" s="337">
        <f>'t12'!D15</f>
        <v>0</v>
      </c>
      <c r="E15" s="338" t="str">
        <f t="shared" si="2"/>
        <v xml:space="preserve"> </v>
      </c>
      <c r="F15" s="358"/>
      <c r="G15" s="338" t="str">
        <f t="shared" si="0"/>
        <v xml:space="preserve"> </v>
      </c>
      <c r="H15" s="339" t="str">
        <f t="shared" si="1"/>
        <v xml:space="preserve"> </v>
      </c>
      <c r="I15" s="323" t="str">
        <f t="shared" si="3"/>
        <v xml:space="preserve"> </v>
      </c>
    </row>
    <row r="16" spans="1:13" ht="13.2">
      <c r="A16" s="139" t="str">
        <f>'t1'!A16</f>
        <v>POSIZ. ECON. D6 - PROFILI ACCESSO D3</v>
      </c>
      <c r="B16" s="318" t="str">
        <f>'t1'!B16</f>
        <v>0D6A00</v>
      </c>
      <c r="C16" s="336">
        <f>'t12'!C16</f>
        <v>0</v>
      </c>
      <c r="D16" s="337">
        <f>'t12'!D16</f>
        <v>0</v>
      </c>
      <c r="E16" s="338" t="str">
        <f t="shared" si="2"/>
        <v xml:space="preserve"> </v>
      </c>
      <c r="F16" s="358">
        <v>28342.720000000001</v>
      </c>
      <c r="G16" s="338" t="str">
        <f t="shared" si="0"/>
        <v xml:space="preserve"> </v>
      </c>
      <c r="H16" s="339" t="str">
        <f t="shared" si="1"/>
        <v xml:space="preserve"> </v>
      </c>
      <c r="I16" s="323" t="str">
        <f t="shared" si="3"/>
        <v xml:space="preserve"> </v>
      </c>
    </row>
    <row r="17" spans="1:9" ht="13.2">
      <c r="A17" s="139" t="str">
        <f>'t1'!A17</f>
        <v>POSIZ. ECON. D6 - PROFILO ACCESSO D1</v>
      </c>
      <c r="B17" s="318" t="str">
        <f>'t1'!B17</f>
        <v>0D6000</v>
      </c>
      <c r="C17" s="336">
        <f>'t12'!C17</f>
        <v>0</v>
      </c>
      <c r="D17" s="337">
        <f>'t12'!D17</f>
        <v>0</v>
      </c>
      <c r="E17" s="338" t="str">
        <f t="shared" si="2"/>
        <v xml:space="preserve"> </v>
      </c>
      <c r="F17" s="358">
        <v>28342.720000000001</v>
      </c>
      <c r="G17" s="338" t="str">
        <f t="shared" si="0"/>
        <v xml:space="preserve"> </v>
      </c>
      <c r="H17" s="339" t="str">
        <f t="shared" si="1"/>
        <v xml:space="preserve"> </v>
      </c>
      <c r="I17" s="323" t="str">
        <f t="shared" si="3"/>
        <v xml:space="preserve"> </v>
      </c>
    </row>
    <row r="18" spans="1:9" ht="13.2">
      <c r="A18" s="139" t="str">
        <f>'t1'!A18</f>
        <v>POSIZ. ECON. D5 PROFILI ACCESSO D3</v>
      </c>
      <c r="B18" s="318" t="str">
        <f>'t1'!B18</f>
        <v>052486</v>
      </c>
      <c r="C18" s="336">
        <f>'t12'!C18</f>
        <v>0</v>
      </c>
      <c r="D18" s="337">
        <f>'t12'!D18</f>
        <v>0</v>
      </c>
      <c r="E18" s="338" t="str">
        <f t="shared" si="2"/>
        <v xml:space="preserve"> </v>
      </c>
      <c r="F18" s="358">
        <v>26510.86</v>
      </c>
      <c r="G18" s="338" t="str">
        <f t="shared" si="0"/>
        <v xml:space="preserve"> </v>
      </c>
      <c r="H18" s="339" t="str">
        <f t="shared" si="1"/>
        <v xml:space="preserve"> </v>
      </c>
      <c r="I18" s="323" t="str">
        <f t="shared" si="3"/>
        <v xml:space="preserve"> </v>
      </c>
    </row>
    <row r="19" spans="1:9" ht="13.2">
      <c r="A19" s="139" t="str">
        <f>'t1'!A19</f>
        <v>POSIZ. ECON. D5 PROFILI ACCESSO D1</v>
      </c>
      <c r="B19" s="318" t="str">
        <f>'t1'!B19</f>
        <v>052487</v>
      </c>
      <c r="C19" s="336">
        <f>'t12'!C19</f>
        <v>0</v>
      </c>
      <c r="D19" s="337">
        <f>'t12'!D19</f>
        <v>0</v>
      </c>
      <c r="E19" s="338" t="str">
        <f t="shared" si="2"/>
        <v xml:space="preserve"> </v>
      </c>
      <c r="F19" s="358">
        <v>26510.86</v>
      </c>
      <c r="G19" s="338" t="str">
        <f t="shared" si="0"/>
        <v xml:space="preserve"> </v>
      </c>
      <c r="H19" s="339" t="str">
        <f t="shared" si="1"/>
        <v xml:space="preserve"> </v>
      </c>
      <c r="I19" s="323" t="str">
        <f t="shared" si="3"/>
        <v xml:space="preserve"> </v>
      </c>
    </row>
    <row r="20" spans="1:9" ht="13.2">
      <c r="A20" s="139" t="str">
        <f>'t1'!A20</f>
        <v>POSIZ. ECON. D4 PROFILI ACCESSO D3</v>
      </c>
      <c r="B20" s="318" t="str">
        <f>'t1'!B20</f>
        <v>051488</v>
      </c>
      <c r="C20" s="336">
        <f>'t12'!C20</f>
        <v>0</v>
      </c>
      <c r="D20" s="337">
        <f>'t12'!D20</f>
        <v>0</v>
      </c>
      <c r="E20" s="338" t="str">
        <f t="shared" si="2"/>
        <v xml:space="preserve"> </v>
      </c>
      <c r="F20" s="358">
        <v>25377.759999999998</v>
      </c>
      <c r="G20" s="338" t="str">
        <f t="shared" si="0"/>
        <v xml:space="preserve"> </v>
      </c>
      <c r="H20" s="339" t="str">
        <f t="shared" si="1"/>
        <v xml:space="preserve"> </v>
      </c>
      <c r="I20" s="323" t="str">
        <f t="shared" si="3"/>
        <v xml:space="preserve"> </v>
      </c>
    </row>
    <row r="21" spans="1:9" ht="13.2">
      <c r="A21" s="139" t="str">
        <f>'t1'!A21</f>
        <v>POSIZ. ECON. D4 PROFILI ACCESSO D1</v>
      </c>
      <c r="B21" s="318" t="str">
        <f>'t1'!B21</f>
        <v>051489</v>
      </c>
      <c r="C21" s="336">
        <f>'t12'!C21</f>
        <v>0</v>
      </c>
      <c r="D21" s="337">
        <f>'t12'!D21</f>
        <v>0</v>
      </c>
      <c r="E21" s="338" t="str">
        <f t="shared" si="2"/>
        <v xml:space="preserve"> </v>
      </c>
      <c r="F21" s="358">
        <v>25377.759999999998</v>
      </c>
      <c r="G21" s="338" t="str">
        <f t="shared" si="0"/>
        <v xml:space="preserve"> </v>
      </c>
      <c r="H21" s="339" t="str">
        <f t="shared" si="1"/>
        <v xml:space="preserve"> </v>
      </c>
      <c r="I21" s="323" t="str">
        <f t="shared" si="3"/>
        <v xml:space="preserve"> </v>
      </c>
    </row>
    <row r="22" spans="1:9" ht="13.2">
      <c r="A22" s="139" t="str">
        <f>'t1'!A22</f>
        <v>POSIZIONE ECONOMICA DI ACCESSO D3</v>
      </c>
      <c r="B22" s="318" t="str">
        <f>'t1'!B22</f>
        <v>058000</v>
      </c>
      <c r="C22" s="336">
        <f>'t12'!C22</f>
        <v>0</v>
      </c>
      <c r="D22" s="337">
        <f>'t12'!D22</f>
        <v>0</v>
      </c>
      <c r="E22" s="338" t="str">
        <f t="shared" si="2"/>
        <v xml:space="preserve"> </v>
      </c>
      <c r="F22" s="358">
        <v>24338.14</v>
      </c>
      <c r="G22" s="338" t="str">
        <f t="shared" si="0"/>
        <v xml:space="preserve"> </v>
      </c>
      <c r="H22" s="339" t="str">
        <f t="shared" si="1"/>
        <v xml:space="preserve"> </v>
      </c>
      <c r="I22" s="323" t="str">
        <f t="shared" si="3"/>
        <v xml:space="preserve"> </v>
      </c>
    </row>
    <row r="23" spans="1:9" ht="13.2">
      <c r="A23" s="139" t="str">
        <f>'t1'!A23</f>
        <v>POSIZIONE ECONOMICA D3</v>
      </c>
      <c r="B23" s="318" t="str">
        <f>'t1'!B23</f>
        <v>050000</v>
      </c>
      <c r="C23" s="336">
        <f>'t12'!C23</f>
        <v>0</v>
      </c>
      <c r="D23" s="337">
        <f>'t12'!D23</f>
        <v>0</v>
      </c>
      <c r="E23" s="338" t="str">
        <f t="shared" si="2"/>
        <v xml:space="preserve"> </v>
      </c>
      <c r="F23" s="358">
        <v>24338.14</v>
      </c>
      <c r="G23" s="338" t="str">
        <f t="shared" si="0"/>
        <v xml:space="preserve"> </v>
      </c>
      <c r="H23" s="339" t="str">
        <f t="shared" si="1"/>
        <v xml:space="preserve"> </v>
      </c>
      <c r="I23" s="323" t="str">
        <f t="shared" si="3"/>
        <v xml:space="preserve"> </v>
      </c>
    </row>
    <row r="24" spans="1:9" ht="13.2">
      <c r="A24" s="139" t="str">
        <f>'t1'!A24</f>
        <v>POSIZIONE ECONOMICA D2</v>
      </c>
      <c r="B24" s="318" t="str">
        <f>'t1'!B24</f>
        <v>049000</v>
      </c>
      <c r="C24" s="336">
        <f>'t12'!C24</f>
        <v>7.24</v>
      </c>
      <c r="D24" s="337">
        <f>'t12'!D24</f>
        <v>13403</v>
      </c>
      <c r="E24" s="338">
        <f t="shared" si="2"/>
        <v>22214.92</v>
      </c>
      <c r="F24" s="358">
        <v>22203.89</v>
      </c>
      <c r="G24" s="338">
        <f t="shared" si="0"/>
        <v>11.03</v>
      </c>
      <c r="H24" s="339">
        <f t="shared" si="1"/>
        <v>5.0000000000000001E-4</v>
      </c>
      <c r="I24" s="323" t="str">
        <f t="shared" si="3"/>
        <v>OK</v>
      </c>
    </row>
    <row r="25" spans="1:9" ht="13.2">
      <c r="A25" s="139" t="str">
        <f>'t1'!A25</f>
        <v>POSIZIONE ECONOMICA DI ACCESSO D1</v>
      </c>
      <c r="B25" s="318" t="str">
        <f>'t1'!B25</f>
        <v>057000</v>
      </c>
      <c r="C25" s="336">
        <f>'t12'!C25</f>
        <v>0.92</v>
      </c>
      <c r="D25" s="337">
        <f>'t12'!D25</f>
        <v>1628</v>
      </c>
      <c r="E25" s="338">
        <f t="shared" si="2"/>
        <v>21234.78</v>
      </c>
      <c r="F25" s="358">
        <v>21166.71</v>
      </c>
      <c r="G25" s="338">
        <f t="shared" si="0"/>
        <v>68.069999999999993</v>
      </c>
      <c r="H25" s="339">
        <f t="shared" si="1"/>
        <v>3.2000000000000002E-3</v>
      </c>
      <c r="I25" s="323" t="str">
        <f t="shared" si="3"/>
        <v>OK</v>
      </c>
    </row>
    <row r="26" spans="1:9" ht="13.2">
      <c r="A26" s="139" t="str">
        <f>'t1'!A26</f>
        <v>POSIZIONE ECONOMICA C5</v>
      </c>
      <c r="B26" s="318" t="str">
        <f>'t1'!B26</f>
        <v>046000</v>
      </c>
      <c r="C26" s="336">
        <f>'t12'!C26</f>
        <v>0</v>
      </c>
      <c r="D26" s="337">
        <f>'t12'!D26</f>
        <v>0</v>
      </c>
      <c r="E26" s="338" t="str">
        <f t="shared" si="2"/>
        <v xml:space="preserve"> </v>
      </c>
      <c r="F26" s="358">
        <v>21901.32</v>
      </c>
      <c r="G26" s="338" t="str">
        <f t="shared" si="0"/>
        <v xml:space="preserve"> </v>
      </c>
      <c r="H26" s="339" t="str">
        <f t="shared" si="1"/>
        <v xml:space="preserve"> </v>
      </c>
      <c r="I26" s="323" t="str">
        <f t="shared" si="3"/>
        <v xml:space="preserve"> </v>
      </c>
    </row>
    <row r="27" spans="1:9" ht="13.2">
      <c r="A27" s="139" t="str">
        <f>'t1'!A27</f>
        <v>POSIZIONE ECONOMICA C4</v>
      </c>
      <c r="B27" s="318" t="str">
        <f>'t1'!B27</f>
        <v>045000</v>
      </c>
      <c r="C27" s="336">
        <f>'t12'!C27</f>
        <v>0</v>
      </c>
      <c r="D27" s="337">
        <f>'t12'!D27</f>
        <v>0</v>
      </c>
      <c r="E27" s="338" t="str">
        <f t="shared" si="2"/>
        <v xml:space="preserve"> </v>
      </c>
      <c r="F27" s="358">
        <v>21120.11</v>
      </c>
      <c r="G27" s="338" t="str">
        <f t="shared" si="0"/>
        <v xml:space="preserve"> </v>
      </c>
      <c r="H27" s="339" t="str">
        <f t="shared" si="1"/>
        <v xml:space="preserve"> </v>
      </c>
      <c r="I27" s="323" t="str">
        <f t="shared" si="3"/>
        <v xml:space="preserve"> </v>
      </c>
    </row>
    <row r="28" spans="1:9" ht="13.2">
      <c r="A28" s="139" t="str">
        <f>'t1'!A28</f>
        <v>POSIZIONE ECONOMICA C3</v>
      </c>
      <c r="B28" s="318" t="str">
        <f>'t1'!B28</f>
        <v>043000</v>
      </c>
      <c r="C28" s="336">
        <f>'t12'!C28</f>
        <v>0</v>
      </c>
      <c r="D28" s="337">
        <f>'t12'!D28</f>
        <v>0</v>
      </c>
      <c r="E28" s="338" t="str">
        <f t="shared" si="2"/>
        <v xml:space="preserve"> </v>
      </c>
      <c r="F28" s="358">
        <v>20472.62</v>
      </c>
      <c r="G28" s="338" t="str">
        <f t="shared" si="0"/>
        <v xml:space="preserve"> </v>
      </c>
      <c r="H28" s="339" t="str">
        <f t="shared" si="1"/>
        <v xml:space="preserve"> </v>
      </c>
      <c r="I28" s="323" t="str">
        <f t="shared" si="3"/>
        <v xml:space="preserve"> </v>
      </c>
    </row>
    <row r="29" spans="1:9" ht="13.2">
      <c r="A29" s="139" t="str">
        <f>'t1'!A29</f>
        <v>POSIZIONE ECONOMICA C2</v>
      </c>
      <c r="B29" s="318" t="str">
        <f>'t1'!B29</f>
        <v>042000</v>
      </c>
      <c r="C29" s="336">
        <f>'t12'!C29</f>
        <v>12</v>
      </c>
      <c r="D29" s="337">
        <f>'t12'!D29</f>
        <v>19918</v>
      </c>
      <c r="E29" s="338">
        <f t="shared" si="2"/>
        <v>19918</v>
      </c>
      <c r="F29" s="358">
        <v>19917.86</v>
      </c>
      <c r="G29" s="338">
        <f t="shared" si="0"/>
        <v>0.14000000000000001</v>
      </c>
      <c r="H29" s="339">
        <f t="shared" si="1"/>
        <v>0</v>
      </c>
      <c r="I29" s="323" t="str">
        <f t="shared" si="3"/>
        <v>OK</v>
      </c>
    </row>
    <row r="30" spans="1:9" ht="13.2">
      <c r="A30" s="139" t="str">
        <f>'t1'!A30</f>
        <v>POSIZIONE ECONOMICA DI ACCESSO C1</v>
      </c>
      <c r="B30" s="318" t="str">
        <f>'t1'!B30</f>
        <v>056000</v>
      </c>
      <c r="C30" s="336">
        <f>'t12'!C30</f>
        <v>15.57</v>
      </c>
      <c r="D30" s="337">
        <f>'t12'!D30</f>
        <v>25232</v>
      </c>
      <c r="E30" s="338">
        <f t="shared" si="2"/>
        <v>19446.63</v>
      </c>
      <c r="F30" s="358">
        <v>19454.150000000001</v>
      </c>
      <c r="G30" s="338">
        <f t="shared" si="0"/>
        <v>-7.52</v>
      </c>
      <c r="H30" s="339">
        <f t="shared" si="1"/>
        <v>-4.0000000000000002E-4</v>
      </c>
      <c r="I30" s="323" t="str">
        <f t="shared" si="3"/>
        <v>OK</v>
      </c>
    </row>
    <row r="31" spans="1:9" ht="13.2">
      <c r="A31" s="139" t="str">
        <f>'t1'!A31</f>
        <v>POSIZ. ECON. B7 - PROFILO ACCESSO B3</v>
      </c>
      <c r="B31" s="318" t="str">
        <f>'t1'!B31</f>
        <v>0B7A00</v>
      </c>
      <c r="C31" s="336">
        <f>'t12'!C31</f>
        <v>0</v>
      </c>
      <c r="D31" s="337">
        <f>'t12'!D31</f>
        <v>0</v>
      </c>
      <c r="E31" s="338" t="str">
        <f t="shared" si="2"/>
        <v xml:space="preserve"> </v>
      </c>
      <c r="F31" s="358">
        <v>19878.400000000001</v>
      </c>
      <c r="G31" s="338" t="str">
        <f t="shared" si="0"/>
        <v xml:space="preserve"> </v>
      </c>
      <c r="H31" s="339" t="str">
        <f t="shared" si="1"/>
        <v xml:space="preserve"> </v>
      </c>
      <c r="I31" s="323" t="str">
        <f t="shared" si="3"/>
        <v xml:space="preserve"> </v>
      </c>
    </row>
    <row r="32" spans="1:9" ht="13.2">
      <c r="A32" s="139" t="str">
        <f>'t1'!A32</f>
        <v>POSIZ. ECON. B7 - PROFILO  ACCESSO B1</v>
      </c>
      <c r="B32" s="318" t="str">
        <f>'t1'!B32</f>
        <v>0B7000</v>
      </c>
      <c r="C32" s="336">
        <f>'t12'!C32</f>
        <v>0</v>
      </c>
      <c r="D32" s="337">
        <f>'t12'!D32</f>
        <v>0</v>
      </c>
      <c r="E32" s="338" t="str">
        <f t="shared" si="2"/>
        <v xml:space="preserve"> </v>
      </c>
      <c r="F32" s="358">
        <v>19878.400000000001</v>
      </c>
      <c r="G32" s="338" t="str">
        <f t="shared" si="0"/>
        <v xml:space="preserve"> </v>
      </c>
      <c r="H32" s="339" t="str">
        <f t="shared" si="1"/>
        <v xml:space="preserve"> </v>
      </c>
      <c r="I32" s="323" t="str">
        <f t="shared" si="3"/>
        <v xml:space="preserve"> </v>
      </c>
    </row>
    <row r="33" spans="1:9" ht="13.2">
      <c r="A33" s="139" t="str">
        <f>'t1'!A33</f>
        <v>POSIZ. ECON. B6 PROFILI ACCESSO B3</v>
      </c>
      <c r="B33" s="318" t="str">
        <f>'t1'!B33</f>
        <v>038490</v>
      </c>
      <c r="C33" s="336">
        <f>'t12'!C33</f>
        <v>0</v>
      </c>
      <c r="D33" s="337">
        <f>'t12'!D33</f>
        <v>0</v>
      </c>
      <c r="E33" s="338" t="str">
        <f t="shared" si="2"/>
        <v xml:space="preserve"> </v>
      </c>
      <c r="F33" s="358">
        <v>19143.580000000002</v>
      </c>
      <c r="G33" s="338" t="str">
        <f t="shared" si="0"/>
        <v xml:space="preserve"> </v>
      </c>
      <c r="H33" s="339" t="str">
        <f t="shared" si="1"/>
        <v xml:space="preserve"> </v>
      </c>
      <c r="I33" s="323" t="str">
        <f t="shared" si="3"/>
        <v xml:space="preserve"> </v>
      </c>
    </row>
    <row r="34" spans="1:9" ht="13.2">
      <c r="A34" s="139" t="str">
        <f>'t1'!A34</f>
        <v>POSIZ. ECON. B6 PROFILI ACCESSO B1</v>
      </c>
      <c r="B34" s="318" t="str">
        <f>'t1'!B34</f>
        <v>038491</v>
      </c>
      <c r="C34" s="336">
        <f>'t12'!C34</f>
        <v>0</v>
      </c>
      <c r="D34" s="337">
        <f>'t12'!D34</f>
        <v>0</v>
      </c>
      <c r="E34" s="338" t="str">
        <f t="shared" si="2"/>
        <v xml:space="preserve"> </v>
      </c>
      <c r="F34" s="358">
        <v>19143.580000000002</v>
      </c>
      <c r="G34" s="338" t="str">
        <f t="shared" si="0"/>
        <v xml:space="preserve"> </v>
      </c>
      <c r="H34" s="339" t="str">
        <f t="shared" si="1"/>
        <v xml:space="preserve"> </v>
      </c>
      <c r="I34" s="323" t="str">
        <f t="shared" si="3"/>
        <v xml:space="preserve"> </v>
      </c>
    </row>
    <row r="35" spans="1:9" ht="13.2">
      <c r="A35" s="139" t="str">
        <f>'t1'!A35</f>
        <v>POSIZ. ECON. B5 PROFILI ACCESSO B3</v>
      </c>
      <c r="B35" s="318" t="str">
        <f>'t1'!B35</f>
        <v>037492</v>
      </c>
      <c r="C35" s="336">
        <f>'t12'!C35</f>
        <v>0</v>
      </c>
      <c r="D35" s="337">
        <f>'t12'!D35</f>
        <v>0</v>
      </c>
      <c r="E35" s="338" t="str">
        <f t="shared" si="2"/>
        <v xml:space="preserve"> </v>
      </c>
      <c r="F35" s="358">
        <v>18808.79</v>
      </c>
      <c r="G35" s="338" t="str">
        <f t="shared" si="0"/>
        <v xml:space="preserve"> </v>
      </c>
      <c r="H35" s="339" t="str">
        <f t="shared" si="1"/>
        <v xml:space="preserve"> </v>
      </c>
      <c r="I35" s="323" t="str">
        <f t="shared" si="3"/>
        <v xml:space="preserve"> </v>
      </c>
    </row>
    <row r="36" spans="1:9" ht="13.2">
      <c r="A36" s="139" t="str">
        <f>'t1'!A36</f>
        <v>POSIZ. ECON. B5 PROFILI ACCESSO B1</v>
      </c>
      <c r="B36" s="318" t="str">
        <f>'t1'!B36</f>
        <v>037493</v>
      </c>
      <c r="C36" s="336">
        <f>'t12'!C36</f>
        <v>0</v>
      </c>
      <c r="D36" s="337">
        <f>'t12'!D36</f>
        <v>0</v>
      </c>
      <c r="E36" s="338" t="str">
        <f t="shared" si="2"/>
        <v xml:space="preserve"> </v>
      </c>
      <c r="F36" s="358">
        <v>18808.79</v>
      </c>
      <c r="G36" s="338" t="str">
        <f t="shared" si="0"/>
        <v xml:space="preserve"> </v>
      </c>
      <c r="H36" s="339" t="str">
        <f t="shared" si="1"/>
        <v xml:space="preserve"> </v>
      </c>
      <c r="I36" s="323" t="str">
        <f t="shared" si="3"/>
        <v xml:space="preserve"> </v>
      </c>
    </row>
    <row r="37" spans="1:9" ht="13.2">
      <c r="A37" s="139" t="str">
        <f>'t1'!A37</f>
        <v>POSIZ. ECON. B4 PROFILI ACCESSO B3</v>
      </c>
      <c r="B37" s="318" t="str">
        <f>'t1'!B37</f>
        <v>036494</v>
      </c>
      <c r="C37" s="336">
        <f>'t12'!C37</f>
        <v>0</v>
      </c>
      <c r="D37" s="337">
        <f>'t12'!D37</f>
        <v>0</v>
      </c>
      <c r="E37" s="338" t="str">
        <f t="shared" si="2"/>
        <v xml:space="preserve"> </v>
      </c>
      <c r="F37" s="358">
        <v>18496.61</v>
      </c>
      <c r="G37" s="338" t="str">
        <f t="shared" si="0"/>
        <v xml:space="preserve"> </v>
      </c>
      <c r="H37" s="339" t="str">
        <f t="shared" si="1"/>
        <v xml:space="preserve"> </v>
      </c>
      <c r="I37" s="323" t="str">
        <f t="shared" si="3"/>
        <v xml:space="preserve"> </v>
      </c>
    </row>
    <row r="38" spans="1:9" ht="13.2">
      <c r="A38" s="139" t="str">
        <f>'t1'!A38</f>
        <v>POSIZ. ECON. B4 PROFILI ACCESSO B1</v>
      </c>
      <c r="B38" s="318" t="str">
        <f>'t1'!B38</f>
        <v>036495</v>
      </c>
      <c r="C38" s="336">
        <f>'t12'!C38</f>
        <v>0</v>
      </c>
      <c r="D38" s="337">
        <f>'t12'!D38</f>
        <v>0</v>
      </c>
      <c r="E38" s="338" t="str">
        <f t="shared" si="2"/>
        <v xml:space="preserve"> </v>
      </c>
      <c r="F38" s="358">
        <v>18496.61</v>
      </c>
      <c r="G38" s="338" t="str">
        <f t="shared" si="0"/>
        <v xml:space="preserve"> </v>
      </c>
      <c r="H38" s="339" t="str">
        <f t="shared" si="1"/>
        <v xml:space="preserve"> </v>
      </c>
      <c r="I38" s="323" t="str">
        <f t="shared" si="3"/>
        <v xml:space="preserve"> </v>
      </c>
    </row>
    <row r="39" spans="1:9" ht="13.2">
      <c r="A39" s="139" t="str">
        <f>'t1'!A39</f>
        <v>POSIZIONE ECONOMICA DI ACCESSO B3</v>
      </c>
      <c r="B39" s="318" t="str">
        <f>'t1'!B39</f>
        <v>055000</v>
      </c>
      <c r="C39" s="336">
        <f>'t12'!C39</f>
        <v>0</v>
      </c>
      <c r="D39" s="337">
        <f>'t12'!D39</f>
        <v>0</v>
      </c>
      <c r="E39" s="338" t="str">
        <f t="shared" si="2"/>
        <v xml:space="preserve"> </v>
      </c>
      <c r="F39" s="358">
        <v>18229.919999999998</v>
      </c>
      <c r="G39" s="338" t="str">
        <f t="shared" si="0"/>
        <v xml:space="preserve"> </v>
      </c>
      <c r="H39" s="339" t="str">
        <f t="shared" si="1"/>
        <v xml:space="preserve"> </v>
      </c>
      <c r="I39" s="323" t="str">
        <f t="shared" si="3"/>
        <v xml:space="preserve"> </v>
      </c>
    </row>
    <row r="40" spans="1:9" ht="13.2">
      <c r="A40" s="139" t="str">
        <f>'t1'!A40</f>
        <v>POSIZIONE ECONOMICA B3</v>
      </c>
      <c r="B40" s="318" t="str">
        <f>'t1'!B40</f>
        <v>034000</v>
      </c>
      <c r="C40" s="336">
        <f>'t12'!C40</f>
        <v>0</v>
      </c>
      <c r="D40" s="337">
        <f>'t12'!D40</f>
        <v>0</v>
      </c>
      <c r="E40" s="338" t="str">
        <f t="shared" si="2"/>
        <v xml:space="preserve"> </v>
      </c>
      <c r="F40" s="358">
        <v>18229.919999999998</v>
      </c>
      <c r="G40" s="338" t="str">
        <f t="shared" si="0"/>
        <v xml:space="preserve"> </v>
      </c>
      <c r="H40" s="339" t="str">
        <f t="shared" si="1"/>
        <v xml:space="preserve"> </v>
      </c>
      <c r="I40" s="323" t="str">
        <f t="shared" si="3"/>
        <v xml:space="preserve"> </v>
      </c>
    </row>
    <row r="41" spans="1:9" ht="13.2">
      <c r="A41" s="139" t="str">
        <f>'t1'!A41</f>
        <v>POSIZIONE ECONOMICA B2</v>
      </c>
      <c r="B41" s="318" t="str">
        <f>'t1'!B41</f>
        <v>032000</v>
      </c>
      <c r="C41" s="336">
        <f>'t12'!C41</f>
        <v>0</v>
      </c>
      <c r="D41" s="337">
        <f>'t12'!D41</f>
        <v>0</v>
      </c>
      <c r="E41" s="338" t="str">
        <f t="shared" ref="E41:E46" si="4">IF(C41=0," ",D41/C41*12)</f>
        <v xml:space="preserve"> </v>
      </c>
      <c r="F41" s="358">
        <v>17531.61</v>
      </c>
      <c r="G41" s="338" t="str">
        <f t="shared" si="0"/>
        <v xml:space="preserve"> </v>
      </c>
      <c r="H41" s="339" t="str">
        <f t="shared" si="1"/>
        <v xml:space="preserve"> </v>
      </c>
      <c r="I41" s="323" t="str">
        <f t="shared" si="3"/>
        <v xml:space="preserve"> </v>
      </c>
    </row>
    <row r="42" spans="1:9" ht="13.2">
      <c r="A42" s="139" t="str">
        <f>'t1'!A42</f>
        <v>POSIZIONE ECONOMICA DI ACCESSO B1</v>
      </c>
      <c r="B42" s="318" t="str">
        <f>'t1'!B42</f>
        <v>054000</v>
      </c>
      <c r="C42" s="336">
        <f>'t12'!C42</f>
        <v>0</v>
      </c>
      <c r="D42" s="337">
        <f>'t12'!D42</f>
        <v>0</v>
      </c>
      <c r="E42" s="338" t="str">
        <f t="shared" si="4"/>
        <v xml:space="preserve"> </v>
      </c>
      <c r="F42" s="358">
        <v>17244.71</v>
      </c>
      <c r="G42" s="338" t="str">
        <f t="shared" si="0"/>
        <v xml:space="preserve"> </v>
      </c>
      <c r="H42" s="339" t="str">
        <f t="shared" si="1"/>
        <v xml:space="preserve"> </v>
      </c>
      <c r="I42" s="323" t="str">
        <f t="shared" si="3"/>
        <v xml:space="preserve"> </v>
      </c>
    </row>
    <row r="43" spans="1:9" ht="13.2">
      <c r="A43" s="139" t="str">
        <f>'t1'!A43</f>
        <v>POSIZIONE ECONOMICA A5</v>
      </c>
      <c r="B43" s="318" t="str">
        <f>'t1'!B43</f>
        <v>0A5000</v>
      </c>
      <c r="C43" s="336">
        <f>'t12'!C43</f>
        <v>0</v>
      </c>
      <c r="D43" s="337">
        <f>'t12'!D43</f>
        <v>0</v>
      </c>
      <c r="E43" s="338" t="str">
        <f t="shared" si="4"/>
        <v xml:space="preserve"> </v>
      </c>
      <c r="F43" s="358">
        <v>17539.650000000001</v>
      </c>
      <c r="G43" s="338" t="str">
        <f t="shared" si="0"/>
        <v xml:space="preserve"> </v>
      </c>
      <c r="H43" s="339" t="str">
        <f t="shared" si="1"/>
        <v xml:space="preserve"> </v>
      </c>
      <c r="I43" s="323" t="str">
        <f t="shared" si="3"/>
        <v xml:space="preserve"> </v>
      </c>
    </row>
    <row r="44" spans="1:9" ht="13.2">
      <c r="A44" s="139" t="str">
        <f>'t1'!A44</f>
        <v>POSIZIONE ECONOMICA A4</v>
      </c>
      <c r="B44" s="318" t="str">
        <f>'t1'!B44</f>
        <v>028000</v>
      </c>
      <c r="C44" s="336">
        <f>'t12'!C44</f>
        <v>0</v>
      </c>
      <c r="D44" s="337">
        <f>'t12'!D44</f>
        <v>0</v>
      </c>
      <c r="E44" s="338" t="str">
        <f t="shared" si="4"/>
        <v xml:space="preserve"> </v>
      </c>
      <c r="F44" s="358">
        <v>17184.060000000001</v>
      </c>
      <c r="G44" s="338" t="str">
        <f t="shared" si="0"/>
        <v xml:space="preserve"> </v>
      </c>
      <c r="H44" s="339" t="str">
        <f t="shared" si="1"/>
        <v xml:space="preserve"> </v>
      </c>
      <c r="I44" s="323" t="str">
        <f t="shared" si="3"/>
        <v xml:space="preserve"> </v>
      </c>
    </row>
    <row r="45" spans="1:9" ht="13.2">
      <c r="A45" s="139" t="str">
        <f>'t1'!A45</f>
        <v>POSIZIONE ECONOMICA A3</v>
      </c>
      <c r="B45" s="318" t="str">
        <f>'t1'!B45</f>
        <v>027000</v>
      </c>
      <c r="C45" s="336">
        <f>'t12'!C45</f>
        <v>0</v>
      </c>
      <c r="D45" s="337">
        <f>'t12'!D45</f>
        <v>0</v>
      </c>
      <c r="E45" s="338" t="str">
        <f t="shared" si="4"/>
        <v xml:space="preserve"> </v>
      </c>
      <c r="F45" s="358">
        <v>16884.36</v>
      </c>
      <c r="G45" s="338" t="str">
        <f t="shared" si="0"/>
        <v xml:space="preserve"> </v>
      </c>
      <c r="H45" s="339" t="str">
        <f t="shared" si="1"/>
        <v xml:space="preserve"> </v>
      </c>
      <c r="I45" s="323" t="str">
        <f t="shared" si="3"/>
        <v xml:space="preserve"> </v>
      </c>
    </row>
    <row r="46" spans="1:9" ht="13.2">
      <c r="A46" s="139" t="str">
        <f>'t1'!A46</f>
        <v>POSIZIONE ECONOMICA A2</v>
      </c>
      <c r="B46" s="318" t="str">
        <f>'t1'!B46</f>
        <v>025000</v>
      </c>
      <c r="C46" s="336">
        <f>'t12'!C46</f>
        <v>0</v>
      </c>
      <c r="D46" s="337">
        <f>'t12'!D46</f>
        <v>0</v>
      </c>
      <c r="E46" s="338" t="str">
        <f t="shared" si="4"/>
        <v xml:space="preserve"> </v>
      </c>
      <c r="F46" s="358">
        <v>16553.95</v>
      </c>
      <c r="G46" s="338" t="str">
        <f t="shared" si="0"/>
        <v xml:space="preserve"> </v>
      </c>
      <c r="H46" s="339" t="str">
        <f t="shared" si="1"/>
        <v xml:space="preserve"> </v>
      </c>
      <c r="I46" s="323" t="str">
        <f t="shared" si="3"/>
        <v xml:space="preserve"> </v>
      </c>
    </row>
    <row r="47" spans="1:9" ht="13.2">
      <c r="A47" s="139" t="str">
        <f>'t1'!A47</f>
        <v>POSIZIONE ECONOMICA DI ACCESSO A1</v>
      </c>
      <c r="B47" s="318" t="str">
        <f>'t1'!B47</f>
        <v>053000</v>
      </c>
      <c r="C47" s="336">
        <f>'t12'!C47</f>
        <v>0</v>
      </c>
      <c r="D47" s="337">
        <f>'t12'!D47</f>
        <v>0</v>
      </c>
      <c r="E47" s="338" t="str">
        <f>IF(C47=0," ",D47/C47*12)</f>
        <v xml:space="preserve"> </v>
      </c>
      <c r="F47" s="358">
        <v>16314.57</v>
      </c>
      <c r="G47" s="338" t="str">
        <f t="shared" si="0"/>
        <v xml:space="preserve"> </v>
      </c>
      <c r="H47" s="339" t="str">
        <f t="shared" si="1"/>
        <v xml:space="preserve"> </v>
      </c>
      <c r="I47" s="323" t="str">
        <f t="shared" si="3"/>
        <v xml:space="preserve"> </v>
      </c>
    </row>
    <row r="48" spans="1:9" ht="13.2">
      <c r="A48" s="139" t="str">
        <f>'t1'!A48</f>
        <v>CONTRATTISTI (a)</v>
      </c>
      <c r="B48" s="318" t="str">
        <f>'t1'!B48</f>
        <v>000061</v>
      </c>
      <c r="C48" s="336">
        <f>'t12'!C48</f>
        <v>0</v>
      </c>
      <c r="D48" s="337">
        <f>'t12'!D48</f>
        <v>0</v>
      </c>
      <c r="E48" s="338" t="str">
        <f>IF(C48=0," ",D48/C48*12)</f>
        <v xml:space="preserve"> </v>
      </c>
      <c r="F48" s="358"/>
      <c r="G48" s="338" t="str">
        <f>IF(E48=" "," ",E48-F48)</f>
        <v xml:space="preserve"> </v>
      </c>
      <c r="H48" s="339" t="str">
        <f>IF(E48=" "," ",IF(F48=0," ",G48/F48))</f>
        <v xml:space="preserve"> </v>
      </c>
      <c r="I48" s="323" t="str">
        <f>IF(E48=" "," ",IF(F48=0," ",IF(ABS(H48)&gt;0.02,"ERRORE","OK")))</f>
        <v xml:space="preserve"> </v>
      </c>
    </row>
    <row r="49" spans="1:9" ht="13.2">
      <c r="A49" s="139" t="str">
        <f>'t1'!A49</f>
        <v>COLLABORATORE A T.D. ART. 90 TUEL (b)</v>
      </c>
      <c r="B49" s="318" t="str">
        <f>'t1'!B49</f>
        <v>000096</v>
      </c>
      <c r="C49" s="336">
        <f>'t12'!C49</f>
        <v>0</v>
      </c>
      <c r="D49" s="337">
        <f>'t12'!D49</f>
        <v>0</v>
      </c>
      <c r="E49" s="338" t="str">
        <f>IF(C49=0," ",D49/C49*12)</f>
        <v xml:space="preserve"> </v>
      </c>
      <c r="F49" s="358"/>
      <c r="G49" s="338" t="str">
        <f t="shared" si="0"/>
        <v xml:space="preserve"> </v>
      </c>
      <c r="H49" s="339" t="str">
        <f t="shared" si="1"/>
        <v xml:space="preserve"> </v>
      </c>
      <c r="I49" s="323" t="str">
        <f t="shared" si="3"/>
        <v xml:space="preserve"> </v>
      </c>
    </row>
  </sheetData>
  <sheetProtection password="EA98" sheet="1" formatColumns="0" selectLockedCells="1" selectUnlockedCells="1"/>
  <mergeCells count="2">
    <mergeCell ref="A1:H1"/>
    <mergeCell ref="D2:I2"/>
  </mergeCells>
  <phoneticPr fontId="30" type="noConversion"/>
  <printOptions horizontalCentered="1" verticalCentered="1"/>
  <pageMargins left="0.19685039370078741" right="0.19685039370078741" top="0.19685039370078741" bottom="0.15748031496062992" header="0.15748031496062992" footer="0.15748031496062992"/>
  <pageSetup paperSize="9" scale="80" orientation="landscape" horizontalDpi="0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40"/>
  <dimension ref="A1:M20"/>
  <sheetViews>
    <sheetView showGridLines="0" zoomScaleNormal="100" workbookViewId="0">
      <selection activeCell="F8" sqref="F8"/>
    </sheetView>
  </sheetViews>
  <sheetFormatPr defaultColWidth="9.28515625" defaultRowHeight="10.199999999999999"/>
  <cols>
    <col min="1" max="1" width="78.85546875" style="5" customWidth="1"/>
    <col min="2" max="3" width="19.85546875" style="5" customWidth="1"/>
    <col min="4" max="4" width="26.85546875" style="5" customWidth="1"/>
    <col min="5" max="5" width="25.140625" style="5" customWidth="1"/>
    <col min="6" max="16384" width="9.28515625" style="5"/>
  </cols>
  <sheetData>
    <row r="1" spans="1:13" ht="27" customHeight="1">
      <c r="A1" s="1442" t="str">
        <f>'t1'!A1</f>
        <v>COMPARTO REGIONI ED AUTONOMIE LOCALI - anno 2017</v>
      </c>
      <c r="B1" s="1442"/>
      <c r="C1" s="1442"/>
      <c r="D1" s="1442"/>
      <c r="E1" s="807"/>
      <c r="F1" s="314"/>
      <c r="G1" s="314"/>
      <c r="H1" s="314"/>
      <c r="I1" s="314"/>
      <c r="K1" s="3"/>
      <c r="M1"/>
    </row>
    <row r="2" spans="1:13" ht="16.2" thickBot="1">
      <c r="A2" s="999" t="s">
        <v>882</v>
      </c>
      <c r="B2" s="998"/>
      <c r="C2" s="998"/>
      <c r="D2" s="998"/>
      <c r="E2" s="315"/>
      <c r="F2" s="315"/>
      <c r="G2" s="315"/>
      <c r="H2" s="315"/>
      <c r="I2" s="315"/>
      <c r="K2" s="3"/>
      <c r="M2"/>
    </row>
    <row r="3" spans="1:13" ht="33" customHeight="1" thickBot="1">
      <c r="A3" s="1550" t="s">
        <v>881</v>
      </c>
      <c r="B3" s="1551"/>
      <c r="C3" s="1551"/>
      <c r="D3" s="1552"/>
      <c r="E3" s="808"/>
    </row>
    <row r="4" spans="1:13" s="197" customFormat="1" ht="31.2" thickBot="1">
      <c r="A4" s="713" t="s">
        <v>768</v>
      </c>
      <c r="B4" s="714" t="s">
        <v>769</v>
      </c>
      <c r="C4" s="714" t="s">
        <v>770</v>
      </c>
      <c r="D4" s="715" t="s">
        <v>771</v>
      </c>
    </row>
    <row r="5" spans="1:13" ht="30" customHeight="1">
      <c r="A5" s="809" t="str">
        <f>SI_1!B85</f>
        <v>Indicare il numero delle unita rilevate in tabella 1 tra i "presenti al 31.12" che appartengono alle categorie protette (Legge n.68/99).</v>
      </c>
      <c r="B5" s="810">
        <f>SI_1!G85</f>
        <v>0</v>
      </c>
      <c r="C5" s="810">
        <f>'t1'!L50+'t1'!M50</f>
        <v>4</v>
      </c>
      <c r="D5" s="1007" t="str">
        <f>IF(B5&lt;=C5,"OK","Dati incoerenti: controllare i valori")</f>
        <v>OK</v>
      </c>
    </row>
    <row r="6" spans="1:13" ht="30" customHeight="1">
      <c r="A6" s="811" t="str">
        <f>SI_1!B106</f>
        <v>Indicare il numero delle unita rilevate in tabella 1 tra i "presenti al 31.12" che risultavano titolari di permessi per legge n. 104/92.</v>
      </c>
      <c r="B6" s="812">
        <f>SI_1!G106</f>
        <v>0</v>
      </c>
      <c r="C6" s="812">
        <f>'t1'!L50+'t1'!M50</f>
        <v>4</v>
      </c>
      <c r="D6" s="1008" t="str">
        <f>IF(B6&lt;=C6,"OK","Dati incoerenti: controllare i valori")</f>
        <v>OK</v>
      </c>
    </row>
    <row r="7" spans="1:13" ht="30" customHeight="1" thickBot="1">
      <c r="A7" s="813" t="str">
        <f>SI_1!B109</f>
        <v>Indicare il numero delle unita rilevate in tabella 1 tra i "presenti al 31.12" che risultavano titolari di permessi ai sensi dell'art. 42, c.5 D.lgs.151/2001.</v>
      </c>
      <c r="B7" s="814">
        <f>SI_1!G109</f>
        <v>0</v>
      </c>
      <c r="C7" s="814">
        <f>'t1'!L50+'t1'!M50</f>
        <v>4</v>
      </c>
      <c r="D7" s="1009" t="str">
        <f>IF(B7&lt;=C7,"OK","Dati incoerenti: controllare i valori")</f>
        <v>OK</v>
      </c>
    </row>
    <row r="10" spans="1:13" ht="16.2" thickBot="1">
      <c r="A10" s="1000" t="s">
        <v>884</v>
      </c>
      <c r="B10" s="998"/>
      <c r="C10" s="998"/>
      <c r="D10" s="998"/>
      <c r="E10" s="315"/>
      <c r="F10" s="315"/>
      <c r="G10" s="315"/>
      <c r="H10" s="315"/>
      <c r="I10" s="315"/>
      <c r="K10" s="3"/>
      <c r="M10"/>
    </row>
    <row r="11" spans="1:13" ht="32.4" customHeight="1" thickBot="1">
      <c r="A11" s="1550" t="s">
        <v>883</v>
      </c>
      <c r="B11" s="1551"/>
      <c r="C11" s="1551"/>
      <c r="D11" s="1552"/>
      <c r="E11" s="808"/>
    </row>
    <row r="12" spans="1:13" s="197" customFormat="1" ht="21" thickBot="1">
      <c r="A12" s="815" t="s">
        <v>768</v>
      </c>
      <c r="B12" s="816" t="s">
        <v>769</v>
      </c>
      <c r="C12" s="816" t="s">
        <v>772</v>
      </c>
      <c r="D12" s="817" t="s">
        <v>773</v>
      </c>
    </row>
    <row r="13" spans="1:13" ht="30" customHeight="1">
      <c r="A13" s="811" t="str">
        <f>SI_1!B106</f>
        <v>Indicare il numero delle unita rilevate in tabella 1 tra i "presenti al 31.12" che risultavano titolari di permessi per legge n. 104/92.</v>
      </c>
      <c r="B13" s="818">
        <f>SI_1!G106</f>
        <v>0</v>
      </c>
      <c r="C13" s="819">
        <f>'t11'!I52+'t11'!J52</f>
        <v>0</v>
      </c>
      <c r="D13" s="1010" t="str">
        <f>(IF(AND(C13=0,B13&gt;0),"Mancano le assenze per questa causale",IF(AND(C13&gt;0,B13=0),"Dichiarare Unita nella domanda della Scheda Informativa 1","OK")))</f>
        <v>OK</v>
      </c>
    </row>
    <row r="14" spans="1:13" ht="30" customHeight="1" thickBot="1">
      <c r="A14" s="811" t="str">
        <f>SI_1!B109</f>
        <v>Indicare il numero delle unita rilevate in tabella 1 tra i "presenti al 31.12" che risultavano titolari di permessi ai sensi dell'art. 42, c.5 D.lgs.151/2001.</v>
      </c>
      <c r="B14" s="814">
        <f>SI_1!G109</f>
        <v>0</v>
      </c>
      <c r="C14" s="820">
        <f>'t11'!G52+'t11'!H52</f>
        <v>0</v>
      </c>
      <c r="D14" s="1011" t="str">
        <f>(IF(AND(C14=0,B14&gt;0),"Mancano le assenze per questa causale",IF(AND(C14&gt;0,B14=0),"Dichiarare Unita nella domanda della Scheda Informativa 1","OK")))</f>
        <v>OK</v>
      </c>
    </row>
    <row r="17" spans="1:13" ht="13.2" customHeight="1" thickBot="1">
      <c r="A17" s="1001" t="s">
        <v>886</v>
      </c>
      <c r="B17" s="998"/>
      <c r="C17" s="998"/>
      <c r="D17" s="998"/>
      <c r="E17" s="315"/>
      <c r="F17" s="315"/>
      <c r="G17" s="315"/>
      <c r="H17" s="315"/>
      <c r="I17" s="315"/>
      <c r="K17" s="3"/>
      <c r="M17"/>
    </row>
    <row r="18" spans="1:13" ht="31.2" customHeight="1" thickBot="1">
      <c r="A18" s="1550" t="s">
        <v>885</v>
      </c>
      <c r="B18" s="1551"/>
      <c r="C18" s="1551"/>
      <c r="D18" s="1552"/>
      <c r="E18" s="808"/>
    </row>
    <row r="19" spans="1:13" ht="21" thickBot="1">
      <c r="A19" s="815" t="s">
        <v>768</v>
      </c>
      <c r="B19" s="816" t="s">
        <v>867</v>
      </c>
      <c r="C19" s="816" t="s">
        <v>772</v>
      </c>
      <c r="D19" s="817" t="s">
        <v>773</v>
      </c>
    </row>
    <row r="20" spans="1:13" ht="42" customHeight="1">
      <c r="A20" s="811" t="s">
        <v>630</v>
      </c>
      <c r="B20" s="818">
        <f>SI_1!G82</f>
        <v>19</v>
      </c>
      <c r="C20" s="819">
        <f>'t11'!E52+'t11'!F52</f>
        <v>38</v>
      </c>
      <c r="D20" s="1010" t="str">
        <f>(IF(AND(C20=0,B20&gt;0),"Mancano le assenze per questa causale",IF(AND(C20&gt;0,B20=0),"Dichiarare Somme nella domanda della Scheda Informativa 1","OK")))</f>
        <v>OK</v>
      </c>
    </row>
  </sheetData>
  <sheetProtection password="EA98" sheet="1" formatColumns="0" selectLockedCells="1" selectUnlockedCells="1"/>
  <mergeCells count="4">
    <mergeCell ref="A18:D18"/>
    <mergeCell ref="A1:D1"/>
    <mergeCell ref="A3:D3"/>
    <mergeCell ref="A11:D11"/>
  </mergeCells>
  <conditionalFormatting sqref="D5:D7 D13:D14 D20">
    <cfRule type="notContainsText" dxfId="0" priority="1" stopIfTrue="1" operator="notContains" text="OK">
      <formula>ISERROR(SEARCH("OK",D5))</formula>
    </cfRule>
  </conditionalFormatting>
  <printOptions horizontalCentered="1" verticalCentered="1"/>
  <pageMargins left="0" right="0" top="0.19685039370078741" bottom="0.31496062992125984" header="0.51181102362204722" footer="0.51181102362204722"/>
  <pageSetup paperSize="9" scale="90" orientation="landscape" horizontalDpi="300" verticalDpi="4294967292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7">
    <pageSetUpPr fitToPage="1"/>
  </sheetPr>
  <dimension ref="A1:N31"/>
  <sheetViews>
    <sheetView showGridLines="0" zoomScale="90" workbookViewId="0">
      <pane ySplit="5" topLeftCell="A6" activePane="bottomLeft" state="frozen"/>
      <selection activeCell="A2" sqref="A2"/>
      <selection pane="bottomLeft" activeCell="I14" sqref="I14"/>
    </sheetView>
  </sheetViews>
  <sheetFormatPr defaultRowHeight="10.199999999999999"/>
  <cols>
    <col min="1" max="1" width="71.28515625" style="417" customWidth="1"/>
    <col min="2" max="2" width="8" style="417" customWidth="1"/>
    <col min="3" max="3" width="14.140625" style="417" customWidth="1"/>
    <col min="4" max="4" width="15.28515625" style="417" customWidth="1"/>
    <col min="5" max="5" width="25" style="417" bestFit="1" customWidth="1"/>
    <col min="6" max="6" width="17.28515625" style="417" customWidth="1"/>
    <col min="7" max="7" width="17.140625" style="417" customWidth="1"/>
    <col min="8" max="14" width="9.28515625" style="417" customWidth="1"/>
  </cols>
  <sheetData>
    <row r="1" spans="1:14" s="5" customFormat="1" ht="26.25" customHeight="1">
      <c r="A1" s="1442" t="str">
        <f>'t1'!A1:K1</f>
        <v>COMPARTO REGIONI ED AUTONOMIE LOCALI - anno 2017</v>
      </c>
      <c r="B1" s="1442"/>
      <c r="C1" s="1442"/>
      <c r="D1" s="1442"/>
      <c r="E1" s="1442"/>
      <c r="F1" s="314"/>
      <c r="G1" s="311"/>
      <c r="H1" s="314"/>
      <c r="K1" s="3"/>
      <c r="M1" s="416"/>
    </row>
    <row r="2" spans="1:14" s="5" customFormat="1" ht="21" customHeight="1">
      <c r="B2" s="1524"/>
      <c r="C2" s="1524"/>
      <c r="D2" s="1524"/>
      <c r="E2" s="1524"/>
      <c r="F2" s="1524"/>
      <c r="G2" s="1524"/>
      <c r="J2" s="315"/>
      <c r="K2" s="3"/>
      <c r="M2" s="416"/>
    </row>
    <row r="3" spans="1:14" s="5" customFormat="1" ht="21" customHeight="1" thickBot="1">
      <c r="A3" s="319" t="s">
        <v>297</v>
      </c>
      <c r="B3" s="7"/>
    </row>
    <row r="4" spans="1:14" ht="20.25" customHeight="1" thickBot="1">
      <c r="A4" s="328" t="s">
        <v>298</v>
      </c>
      <c r="B4" s="1558">
        <f>'t12'!J50+'t13'!W50</f>
        <v>79732</v>
      </c>
      <c r="C4" s="1559"/>
      <c r="D4" s="1559"/>
      <c r="E4" s="1559"/>
      <c r="F4" s="1559"/>
      <c r="G4" s="1560"/>
    </row>
    <row r="5" spans="1:14" ht="85.5" customHeight="1" thickBot="1">
      <c r="A5" s="218" t="s">
        <v>140</v>
      </c>
      <c r="B5" s="219" t="s">
        <v>283</v>
      </c>
      <c r="C5" s="219" t="s">
        <v>284</v>
      </c>
      <c r="D5" s="220" t="s">
        <v>285</v>
      </c>
      <c r="E5" s="1561" t="s">
        <v>281</v>
      </c>
      <c r="F5" s="1562"/>
      <c r="G5" s="1563"/>
      <c r="H5" s="416"/>
      <c r="I5" s="416"/>
      <c r="J5" s="416"/>
      <c r="K5" s="416"/>
      <c r="L5" s="416"/>
      <c r="M5" s="416"/>
      <c r="N5" s="416"/>
    </row>
    <row r="6" spans="1:14" ht="19.5" customHeight="1">
      <c r="A6" s="217" t="str">
        <f>'t14'!A4</f>
        <v>ASSEGNI PER IL NUCLEO FAMILIARE</v>
      </c>
      <c r="B6" s="324" t="str">
        <f>'t14'!B4</f>
        <v>L005</v>
      </c>
      <c r="C6" s="320">
        <f>'t14'!D4</f>
        <v>461</v>
      </c>
      <c r="D6" s="418">
        <f t="shared" ref="D6:D11" si="0">IF($B$4=0," ",(IF(C6=0," ",C6/$B$4)))</f>
        <v>5.7999999999999996E-3</v>
      </c>
      <c r="E6" s="1570" t="str">
        <f>IF($B$4=0,"TABELLE 12 -13 ASSENTI",(IF('t12'!$J$50=0,"TAB. 12 ASSENTE",(IF('t13'!W50=0,"TAB. 13 ASSENTE"," ")))))</f>
        <v xml:space="preserve"> </v>
      </c>
      <c r="F6" s="1571"/>
      <c r="G6" s="1572"/>
      <c r="H6" s="416"/>
      <c r="I6" s="416"/>
      <c r="J6" s="416"/>
      <c r="K6" s="416"/>
      <c r="L6" s="416"/>
      <c r="M6" s="416"/>
      <c r="N6" s="416"/>
    </row>
    <row r="7" spans="1:14" ht="19.5" customHeight="1">
      <c r="A7" s="217" t="str">
        <f>'t14'!A5</f>
        <v xml:space="preserve">GESTIONE MENSE </v>
      </c>
      <c r="B7" s="324" t="str">
        <f>'t14'!B5</f>
        <v>L010</v>
      </c>
      <c r="C7" s="321">
        <f>'t14'!D5</f>
        <v>0</v>
      </c>
      <c r="D7" s="419" t="str">
        <f t="shared" si="0"/>
        <v xml:space="preserve"> </v>
      </c>
      <c r="E7" s="1564"/>
      <c r="F7" s="1565"/>
      <c r="G7" s="1566"/>
      <c r="H7" s="416"/>
      <c r="I7" s="416"/>
      <c r="J7" s="416"/>
      <c r="K7" s="416"/>
      <c r="L7" s="416"/>
      <c r="M7" s="416"/>
      <c r="N7" s="416"/>
    </row>
    <row r="8" spans="1:14" ht="19.5" customHeight="1">
      <c r="A8" s="217" t="str">
        <f>'t14'!A6</f>
        <v>EROGAZIONE BUONI PASTO</v>
      </c>
      <c r="B8" s="324" t="str">
        <f>'t14'!B6</f>
        <v>L011</v>
      </c>
      <c r="C8" s="321">
        <f>'t14'!D6</f>
        <v>0</v>
      </c>
      <c r="D8" s="419" t="str">
        <f t="shared" si="0"/>
        <v xml:space="preserve"> </v>
      </c>
      <c r="E8" s="1564"/>
      <c r="F8" s="1565"/>
      <c r="G8" s="1566"/>
      <c r="H8" s="416"/>
      <c r="I8" s="416"/>
      <c r="J8" s="416"/>
      <c r="K8" s="416"/>
      <c r="L8" s="416"/>
      <c r="M8" s="416"/>
      <c r="N8" s="416"/>
    </row>
    <row r="9" spans="1:14" ht="19.5" customHeight="1">
      <c r="A9" s="217" t="str">
        <f>'t14'!A7</f>
        <v>FORMAZIONE DEL PERSONALE</v>
      </c>
      <c r="B9" s="324" t="str">
        <f>'t14'!B7</f>
        <v>L020</v>
      </c>
      <c r="C9" s="321">
        <f>'t14'!D7</f>
        <v>0</v>
      </c>
      <c r="D9" s="419" t="str">
        <f t="shared" si="0"/>
        <v xml:space="preserve"> </v>
      </c>
      <c r="E9" s="1564"/>
      <c r="F9" s="1565"/>
      <c r="G9" s="1566"/>
      <c r="H9" s="416"/>
      <c r="I9" s="416"/>
      <c r="J9" s="416"/>
      <c r="K9" s="416"/>
      <c r="L9" s="416"/>
      <c r="M9" s="416"/>
      <c r="N9" s="416"/>
    </row>
    <row r="10" spans="1:14" ht="19.5" customHeight="1">
      <c r="A10" s="217" t="str">
        <f>'t14'!A8</f>
        <v>BENESSERE DEL PERSONALE</v>
      </c>
      <c r="B10" s="324" t="str">
        <f>'t14'!B8</f>
        <v>L090</v>
      </c>
      <c r="C10" s="321">
        <f>'t14'!D8</f>
        <v>0</v>
      </c>
      <c r="D10" s="419" t="str">
        <f t="shared" si="0"/>
        <v xml:space="preserve"> </v>
      </c>
      <c r="E10" s="1564"/>
      <c r="F10" s="1565"/>
      <c r="G10" s="1566"/>
      <c r="H10" s="416"/>
      <c r="I10" s="416"/>
      <c r="J10" s="416"/>
      <c r="K10" s="416"/>
      <c r="L10" s="416"/>
      <c r="M10" s="416"/>
      <c r="N10" s="416"/>
    </row>
    <row r="11" spans="1:14" ht="19.5" customHeight="1" thickBot="1">
      <c r="A11" s="217" t="str">
        <f>'t14'!A9</f>
        <v>EQUO INDENNIZZO AL PERSONALE</v>
      </c>
      <c r="B11" s="324" t="str">
        <f>'t14'!B9</f>
        <v>L100</v>
      </c>
      <c r="C11" s="321">
        <f>'t14'!D9</f>
        <v>0</v>
      </c>
      <c r="D11" s="420" t="str">
        <f t="shared" si="0"/>
        <v xml:space="preserve"> </v>
      </c>
      <c r="E11" s="1567"/>
      <c r="F11" s="1568"/>
      <c r="G11" s="1569"/>
      <c r="H11" s="416"/>
      <c r="I11" s="416"/>
      <c r="J11" s="416"/>
      <c r="K11" s="416"/>
      <c r="L11" s="416"/>
      <c r="M11" s="416"/>
      <c r="N11" s="416"/>
    </row>
    <row r="12" spans="1:14" ht="30.75" customHeight="1" thickBot="1">
      <c r="A12" s="217" t="str">
        <f>'t14'!A10</f>
        <v>SOMME CORRISPOSTE AD AGENZIA DI SOMMINISTRAZIONE(INTERINALI)</v>
      </c>
      <c r="B12" s="324" t="str">
        <f>'t14'!B10</f>
        <v>L105</v>
      </c>
      <c r="C12" s="321">
        <f>'t14'!D10</f>
        <v>0</v>
      </c>
      <c r="D12" s="421" t="str">
        <f>IF($B$4=0," ",(IF(C12=0," ",C12/$B$4)))</f>
        <v xml:space="preserve"> </v>
      </c>
      <c r="E12" s="1556" t="str">
        <f>(IF(AND(C12=0,C24&gt;0),"P062 VALORIZZATA; INSERIRE SOMME SPETTANTI ALL'AGENZIA (L105)",IF(AND(C12&gt;0,C24&gt;0,C12&gt;(C24/100*30)),"ATTENZIONE: la voce L105 supera il 30% della voce P062. Il salvataggio produrrà l'INCONGRUENZA 1 che dovrà essere giustificata"," ")))</f>
        <v xml:space="preserve"> </v>
      </c>
      <c r="F12" s="1573"/>
      <c r="G12" s="1574"/>
      <c r="H12" s="416"/>
      <c r="I12" s="416"/>
      <c r="J12" s="416"/>
      <c r="K12" s="416"/>
      <c r="L12" s="416"/>
      <c r="M12" s="416"/>
      <c r="N12" s="416"/>
    </row>
    <row r="13" spans="1:14" ht="19.5" customHeight="1" thickBot="1">
      <c r="A13" s="217" t="str">
        <f>'t14'!A11</f>
        <v>COPERTURE ASSICURATIVE</v>
      </c>
      <c r="B13" s="324" t="str">
        <f>'t14'!B11</f>
        <v>L107</v>
      </c>
      <c r="C13" s="321">
        <f>'t14'!D11</f>
        <v>0</v>
      </c>
      <c r="D13" s="418" t="str">
        <f t="shared" ref="D13:D21" si="1">IF($B$4=0," ",(IF(C13=0," ",C13/$B$4)))</f>
        <v xml:space="preserve"> </v>
      </c>
      <c r="E13" s="1553" t="str">
        <f>IF($B$4=0,"TABELLE 12 -13 ASSENTI",(IF('t12'!$J$50=0,"TAB. 12 ASSENTE",(IF('t13'!$W$50=0,"TAB. 13 ASSENTE"," ")))))</f>
        <v xml:space="preserve"> </v>
      </c>
      <c r="F13" s="1557" t="s">
        <v>368</v>
      </c>
      <c r="G13" s="1575" t="s">
        <v>368</v>
      </c>
      <c r="H13" s="416"/>
      <c r="I13" s="416"/>
      <c r="J13" s="416"/>
      <c r="K13" s="416"/>
      <c r="L13" s="416"/>
      <c r="M13" s="416"/>
      <c r="N13" s="416"/>
    </row>
    <row r="14" spans="1:14" ht="41.25" customHeight="1" thickBot="1">
      <c r="A14" s="217" t="str">
        <f>'t14'!A12</f>
        <v>CONTRATTI DI COLLABORAZIONE COORDINATA E CONTINUATIVA</v>
      </c>
      <c r="B14" s="324" t="str">
        <f>'t14'!B12</f>
        <v>L108</v>
      </c>
      <c r="C14" s="321">
        <f>'t14'!D12</f>
        <v>0</v>
      </c>
      <c r="D14" s="419" t="str">
        <f t="shared" si="1"/>
        <v xml:space="preserve"> </v>
      </c>
      <c r="E14" s="1556" t="str">
        <f>IF(SI_1!G56=0,IF('t14'!D12=0," ","MANCA IL NUMERO DEI CONTRATTI NELLA SI_1"),IF('t14'!D12=0,"VERIFICARE SE INSERIRE LE SPESE"," "))</f>
        <v xml:space="preserve"> </v>
      </c>
      <c r="F14" s="1557"/>
      <c r="G14" s="340" t="str">
        <f>IF(AND(C14&gt;0,SI_1!G56&gt;0),"VALORE MEDIO UNITARIO DI SPESA =  "&amp;C14/SI_1!G56," ")</f>
        <v xml:space="preserve"> </v>
      </c>
      <c r="H14" s="416"/>
      <c r="I14" s="416"/>
      <c r="J14" s="416"/>
      <c r="K14" s="416"/>
      <c r="L14" s="416"/>
      <c r="M14" s="416"/>
      <c r="N14" s="416"/>
    </row>
    <row r="15" spans="1:14" ht="41.25" customHeight="1" thickBot="1">
      <c r="A15" s="217" t="str">
        <f>'t14'!A13</f>
        <v>INCARICHI LIBERO PROFESSIONALI/STUDIO/RICERCA/CONSULENZA</v>
      </c>
      <c r="B15" s="324" t="str">
        <f>'t14'!B13</f>
        <v>L109</v>
      </c>
      <c r="C15" s="321">
        <f>'t14'!D13</f>
        <v>0</v>
      </c>
      <c r="D15" s="419" t="str">
        <f t="shared" si="1"/>
        <v xml:space="preserve"> </v>
      </c>
      <c r="E15" s="1556" t="str">
        <f>IF(SI_1!G59=0,IF('t14'!D13=0," ","MANCA IL NUMERO DEI CONTRATTI NELLA SI_1"),IF('t14'!D13=0,"VERIFICARE SE INSERIRE LE SPESE"," "))</f>
        <v xml:space="preserve"> </v>
      </c>
      <c r="F15" s="1557"/>
      <c r="G15" s="340" t="str">
        <f>IF(AND(C15&gt;0,SI_1!G59&gt;0),"VALORE MEDIO UNITARIO DI SPESA =  "&amp;C15/SI_1!G59," ")</f>
        <v xml:space="preserve"> </v>
      </c>
      <c r="H15" s="416"/>
      <c r="I15" s="416"/>
      <c r="J15" s="416"/>
      <c r="K15" s="416"/>
      <c r="L15" s="416"/>
      <c r="M15" s="416"/>
      <c r="N15" s="416"/>
    </row>
    <row r="16" spans="1:14" ht="41.25" customHeight="1" thickBot="1">
      <c r="A16" s="217" t="str">
        <f>'t14'!A14</f>
        <v>CONTRATTI PER RESA SERVIZI/ADEMPIMENTI OBBLIGATORI PER LEGGE</v>
      </c>
      <c r="B16" s="324" t="str">
        <f>'t14'!B14</f>
        <v>L115</v>
      </c>
      <c r="C16" s="321">
        <f>'t14'!D14</f>
        <v>0</v>
      </c>
      <c r="D16" s="419" t="str">
        <f>IF($B$4=0," ",(IF(C16=0," ",C16/$B$4)))</f>
        <v xml:space="preserve"> </v>
      </c>
      <c r="E16" s="1556" t="str">
        <f>IF(SI_1!G62=0,IF('t14'!D14=0," ","MANCA IL NUMERO DEI CONTRATTI NELLA SI_1"),IF('t14'!D14=0,"VERIFICARE SE INSERIRE LE SPESE"," "))</f>
        <v xml:space="preserve"> </v>
      </c>
      <c r="F16" s="1557"/>
      <c r="G16" s="340" t="str">
        <f>IF(AND(C16&gt;0,SI_1!G62&gt;0),"VALORE MEDIO UNITARIO DI SPESA =  "&amp;C16/SI_1!G62," ")</f>
        <v xml:space="preserve"> </v>
      </c>
      <c r="H16" s="416"/>
      <c r="I16" s="416"/>
      <c r="J16" s="416"/>
      <c r="K16" s="416"/>
      <c r="L16" s="416"/>
      <c r="M16" s="416"/>
      <c r="N16" s="416"/>
    </row>
    <row r="17" spans="1:14" ht="19.5" customHeight="1">
      <c r="A17" s="217" t="str">
        <f>'t14'!A15</f>
        <v>ALTRE SPESE</v>
      </c>
      <c r="B17" s="324" t="str">
        <f>'t14'!B15</f>
        <v>L110</v>
      </c>
      <c r="C17" s="321">
        <f>'t14'!D15</f>
        <v>0</v>
      </c>
      <c r="D17" s="419" t="str">
        <f t="shared" si="1"/>
        <v xml:space="preserve"> </v>
      </c>
      <c r="E17" s="1570" t="str">
        <f>IF($B$4=0,"TABELLE 12 -13 ASSENTI",(IF('t12'!J50=0,"TAB. 12 ASSENTE",(IF('t13'!W50=0,"TAB. 13 ASSENTE"," ")))))</f>
        <v xml:space="preserve"> </v>
      </c>
      <c r="F17" s="1576" t="s">
        <v>368</v>
      </c>
      <c r="G17" s="1577" t="s">
        <v>368</v>
      </c>
      <c r="H17" s="416"/>
      <c r="I17" s="416"/>
      <c r="J17" s="416"/>
      <c r="K17" s="416"/>
      <c r="L17" s="416"/>
      <c r="M17" s="416"/>
      <c r="N17" s="416"/>
    </row>
    <row r="18" spans="1:14" ht="19.5" customHeight="1">
      <c r="A18" s="217" t="str">
        <f>'t14'!A16</f>
        <v>RETRIBUZIONI PERSONALE  A TEMPO DETERMINATO</v>
      </c>
      <c r="B18" s="324" t="str">
        <f>'t14'!B16</f>
        <v>P015</v>
      </c>
      <c r="C18" s="321">
        <f>'t14'!D16</f>
        <v>0</v>
      </c>
      <c r="D18" s="419" t="str">
        <f t="shared" si="1"/>
        <v xml:space="preserve"> </v>
      </c>
      <c r="E18" s="1578" t="s">
        <v>368</v>
      </c>
      <c r="F18" s="1579" t="s">
        <v>368</v>
      </c>
      <c r="G18" s="1580" t="s">
        <v>368</v>
      </c>
      <c r="H18" s="416"/>
      <c r="I18" s="416"/>
      <c r="J18" s="416"/>
      <c r="K18" s="416"/>
      <c r="L18" s="416"/>
      <c r="M18" s="416"/>
      <c r="N18" s="416"/>
    </row>
    <row r="19" spans="1:14" ht="19.5" customHeight="1">
      <c r="A19" s="217" t="str">
        <f>'t14'!A17</f>
        <v>RETRIBUZIONI PERSONALE CON CONTRATTO DI FORMAZIONE E LAVORO</v>
      </c>
      <c r="B19" s="324" t="str">
        <f>'t14'!B17</f>
        <v>P016</v>
      </c>
      <c r="C19" s="321">
        <f>'t14'!D17</f>
        <v>0</v>
      </c>
      <c r="D19" s="419" t="str">
        <f t="shared" si="1"/>
        <v xml:space="preserve"> </v>
      </c>
      <c r="E19" s="1578" t="s">
        <v>368</v>
      </c>
      <c r="F19" s="1579" t="s">
        <v>368</v>
      </c>
      <c r="G19" s="1580" t="s">
        <v>368</v>
      </c>
      <c r="H19" s="416"/>
      <c r="I19" s="416"/>
      <c r="J19" s="416"/>
      <c r="K19" s="416"/>
      <c r="L19" s="416"/>
      <c r="M19" s="416"/>
      <c r="N19" s="416"/>
    </row>
    <row r="20" spans="1:14" ht="19.5" customHeight="1" thickBot="1">
      <c r="A20" s="217" t="str">
        <f>'t14'!A18</f>
        <v>INDENNITA' DI MISSIONE E TRASFERIMENTO</v>
      </c>
      <c r="B20" s="324" t="str">
        <f>'t14'!B18</f>
        <v>P030</v>
      </c>
      <c r="C20" s="321">
        <f>'t14'!D18</f>
        <v>41</v>
      </c>
      <c r="D20" s="419">
        <f t="shared" si="1"/>
        <v>5.0000000000000001E-4</v>
      </c>
      <c r="E20" s="1581" t="s">
        <v>368</v>
      </c>
      <c r="F20" s="1582" t="s">
        <v>368</v>
      </c>
      <c r="G20" s="1583" t="s">
        <v>368</v>
      </c>
      <c r="H20" s="416"/>
      <c r="I20" s="416"/>
      <c r="J20" s="416"/>
      <c r="K20" s="416"/>
      <c r="L20" s="416"/>
      <c r="M20" s="416"/>
      <c r="N20" s="416"/>
    </row>
    <row r="21" spans="1:14" ht="30.75" customHeight="1" thickBot="1">
      <c r="A21" s="217" t="str">
        <f>'t14'!A20</f>
        <v>CONTRIBUTI A CARICO DELL'AMM.NE SU COMP. FISSE E ACCESSORIE</v>
      </c>
      <c r="B21" s="324" t="str">
        <f>'t14'!B20</f>
        <v>P055</v>
      </c>
      <c r="C21" s="321">
        <f>'t14'!D20</f>
        <v>20898</v>
      </c>
      <c r="D21" s="419">
        <f t="shared" si="1"/>
        <v>0.2621</v>
      </c>
      <c r="E21" s="489">
        <f>IF(AND(C31=0,B4=0)," ",IF(C31=0,"TABELLA 14 ASSENTE",IF(AND(B4=0,C18=0,C19=0,C25=0),"INSERIRE RETRIBUZIONI",IF(C21=0,"INSERIRE CONTRIBUTI",ROUND((C21/(B4+C18+C19+C25)*100),2)))))</f>
        <v>26.21</v>
      </c>
      <c r="F21" s="1573" t="str">
        <f>IF(AND(B4=0,C31=0)," ",IF(C31=0,"VALORE INCONGRUENTE",IF(C21=0," ",IF(OR(E21&lt;22.678,E21&gt;30.682),"VALORE INCONGRUENTE (Inc. 4)","OK"))))</f>
        <v>OK</v>
      </c>
      <c r="G21" s="1574"/>
      <c r="H21" s="416"/>
      <c r="I21" s="416"/>
      <c r="J21" s="416"/>
      <c r="K21" s="416"/>
      <c r="L21" s="416"/>
      <c r="M21" s="416"/>
      <c r="N21" s="416"/>
    </row>
    <row r="22" spans="1:14" ht="30.75" customHeight="1" thickBot="1">
      <c r="A22" s="217" t="str">
        <f>'t14'!A21</f>
        <v>QUOTE ANNUE ACCANTONAMENTO TFR O ALTRA IND. FINE SERVIZIO</v>
      </c>
      <c r="B22" s="324" t="str">
        <f>'t14'!B21</f>
        <v>P058</v>
      </c>
      <c r="C22" s="321">
        <f>'t14'!D21</f>
        <v>0</v>
      </c>
      <c r="D22" s="419" t="str">
        <f>IF($B$4=0," ",(IF(C22=0," ",C22/$B$4)))</f>
        <v xml:space="preserve"> </v>
      </c>
      <c r="E22" s="1564" t="str">
        <f>IF($B$4=0,"TABELLE 12 -13 ASSENTI",(IF('t12'!$J$50=0,"TAB. 12 ASSENTE",(IF('t13'!$W$50=0,"TAB. 13 ASSENTE"," ")))))</f>
        <v xml:space="preserve"> </v>
      </c>
      <c r="F22" s="1565" t="s">
        <v>368</v>
      </c>
      <c r="G22" s="1566" t="s">
        <v>368</v>
      </c>
      <c r="H22" s="416"/>
      <c r="I22" s="416"/>
      <c r="J22" s="416"/>
      <c r="K22" s="416"/>
      <c r="L22" s="416"/>
      <c r="M22" s="416"/>
      <c r="N22" s="416"/>
    </row>
    <row r="23" spans="1:14" ht="24" customHeight="1" thickBot="1">
      <c r="A23" s="217" t="str">
        <f>'t14'!A22</f>
        <v>IRAP</v>
      </c>
      <c r="B23" s="324" t="str">
        <f>'t14'!B22</f>
        <v>P061</v>
      </c>
      <c r="C23" s="321">
        <f>'t14'!D22</f>
        <v>6777</v>
      </c>
      <c r="D23" s="419">
        <f>IF($B$4=0," ",IF(C23=0," ",C23/$B$4))</f>
        <v>8.5000000000000006E-2</v>
      </c>
      <c r="E23" s="489">
        <f>IF(AND(B4=0,C31=0)," ",IF(C31=0,"TABELLA 14 ASSENTE",IF(AND(B4=0,C18=0,C19=0,C25=0),"INSERIRE RETRIBUZIONI",IF(C23=0,"INSERIRE SOMME IRAP",ROUND((C23/(B4+C18+C19+C25)*100),2)))))</f>
        <v>8.5</v>
      </c>
      <c r="F23" s="1573" t="str">
        <f>IF('t14'!G22=1,IF(E23&gt;8.5,"VALORE INCONGRUENTE (Inc.4)","E' stata dichiarata IRAP Commerciale"),IF(AND(B4=0,C31=0)," ",IF(C31=0,"VALORE INCONGRUENTE",IF(C23=0," ",IF(OR(E23&lt;7.65,E23&gt;9.35),"VALORE INCONGRUENTE (Inc.4)","OK")))))</f>
        <v>OK</v>
      </c>
      <c r="G23" s="1574"/>
      <c r="H23" s="416"/>
      <c r="I23" s="416"/>
      <c r="J23" s="416"/>
      <c r="K23" s="416"/>
      <c r="L23" s="416"/>
      <c r="M23" s="416"/>
      <c r="N23" s="416"/>
    </row>
    <row r="24" spans="1:14" ht="19.5" customHeight="1" thickBot="1">
      <c r="A24" s="217" t="str">
        <f>'t14'!A23</f>
        <v>ONERI PER I CONTRATTI DI SOMMINISTRAZIONE(INTERINALI)</v>
      </c>
      <c r="B24" s="324" t="str">
        <f>'t14'!B23</f>
        <v>P062</v>
      </c>
      <c r="C24" s="322">
        <f>'t14'!D23</f>
        <v>0</v>
      </c>
      <c r="D24" s="421" t="str">
        <f>IF($B$4=0," ",(IF(AND(C24=0,C12&gt;0),"MANCANO GLI ONERI PER I LAVORATORI",IF(C24=0," ",C24/$B$4))))</f>
        <v xml:space="preserve"> </v>
      </c>
      <c r="E24" s="1553" t="str">
        <f>(IF(AND(C24=0,C12&gt;0),"L105 VALORIZZATA; INSERIRE RETRIBUZIONI PER INTERINALI (P062)"," "))</f>
        <v xml:space="preserve"> </v>
      </c>
      <c r="F24" s="1554"/>
      <c r="G24" s="1555"/>
      <c r="H24" s="416"/>
      <c r="I24" s="416"/>
      <c r="J24" s="416"/>
      <c r="K24" s="416"/>
      <c r="L24" s="416"/>
      <c r="M24" s="416"/>
      <c r="N24" s="416"/>
    </row>
    <row r="25" spans="1:14" ht="19.5" customHeight="1">
      <c r="A25" s="217" t="str">
        <f>'t14'!A24</f>
        <v>COMPENSI PER PERSONALE ADDETTO AI LAVORI SOCIALMENTE UTILI</v>
      </c>
      <c r="B25" s="324" t="str">
        <f>'t14'!B24</f>
        <v>P065</v>
      </c>
      <c r="C25" s="321">
        <f>'t14'!D24</f>
        <v>0</v>
      </c>
      <c r="D25" s="423" t="str">
        <f t="shared" ref="D25:D30" si="2">IF($B$4=0," ",(IF(C25=0," ",C25/$B$4)))</f>
        <v xml:space="preserve"> </v>
      </c>
      <c r="E25" s="1564" t="str">
        <f>IF($B$4=0,"TABELLE 12 -13 ASSENTI",(IF('t12'!$J$50=0,"TAB. 12 ASSENTE",(IF('t13'!$W$50=0,"TAB. 13 ASSENTE"," ")))))</f>
        <v xml:space="preserve"> </v>
      </c>
      <c r="F25" s="1565"/>
      <c r="G25" s="1566"/>
      <c r="H25" s="416"/>
      <c r="I25" s="416"/>
      <c r="J25" s="416"/>
      <c r="K25" s="416"/>
      <c r="L25" s="416"/>
      <c r="M25" s="416"/>
      <c r="N25" s="416"/>
    </row>
    <row r="26" spans="1:14" ht="19.5" customHeight="1">
      <c r="A26" s="217" t="str">
        <f>'t14'!A25</f>
        <v>SOMME RIMBORSATE PER PERSONALE COMAND./FUORI RUOLO/IN CONV.</v>
      </c>
      <c r="B26" s="324" t="str">
        <f>'t14'!B25</f>
        <v>P071</v>
      </c>
      <c r="C26" s="321">
        <f>'t14'!D25</f>
        <v>0</v>
      </c>
      <c r="D26" s="422" t="str">
        <f t="shared" si="2"/>
        <v xml:space="preserve"> </v>
      </c>
      <c r="E26" s="1564"/>
      <c r="F26" s="1565"/>
      <c r="G26" s="1566"/>
      <c r="H26" s="416"/>
      <c r="I26" s="416"/>
      <c r="J26" s="416"/>
      <c r="K26" s="416"/>
      <c r="L26" s="416"/>
      <c r="M26" s="416"/>
      <c r="N26" s="416"/>
    </row>
    <row r="27" spans="1:14" ht="19.5" customHeight="1">
      <c r="A27" s="217" t="str">
        <f>'t14'!A26</f>
        <v>ALTRE SOMME RIMBORSATE ALLE AMMINISTRAZIONI</v>
      </c>
      <c r="B27" s="324" t="str">
        <f>'t14'!B26</f>
        <v>P074</v>
      </c>
      <c r="C27" s="321">
        <f>'t14'!D26</f>
        <v>0</v>
      </c>
      <c r="D27" s="422" t="str">
        <f t="shared" si="2"/>
        <v xml:space="preserve"> </v>
      </c>
      <c r="E27" s="1564"/>
      <c r="F27" s="1565"/>
      <c r="G27" s="1566"/>
      <c r="H27" s="416"/>
      <c r="I27" s="416"/>
      <c r="J27" s="416"/>
      <c r="K27" s="416"/>
      <c r="L27" s="416"/>
      <c r="M27" s="416"/>
      <c r="N27" s="416"/>
    </row>
    <row r="28" spans="1:14" ht="19.5" customHeight="1">
      <c r="A28" s="217" t="str">
        <f>'t14'!A27</f>
        <v>SOMME RICEVUTE DA U.E. E/O PRIVATI (-)</v>
      </c>
      <c r="B28" s="324" t="str">
        <f>'t14'!B27</f>
        <v>P098</v>
      </c>
      <c r="C28" s="321">
        <f>'t14'!D27</f>
        <v>0</v>
      </c>
      <c r="D28" s="422" t="str">
        <f t="shared" si="2"/>
        <v xml:space="preserve"> </v>
      </c>
      <c r="E28" s="1564"/>
      <c r="F28" s="1565"/>
      <c r="G28" s="1566"/>
      <c r="H28" s="416"/>
      <c r="I28" s="416"/>
      <c r="J28" s="416"/>
      <c r="K28" s="416"/>
      <c r="L28" s="416"/>
      <c r="M28" s="416"/>
      <c r="N28" s="416"/>
    </row>
    <row r="29" spans="1:14" ht="19.5" customHeight="1">
      <c r="A29" s="217" t="str">
        <f>'t14'!A28</f>
        <v>RIMBORSI RICEVUTI PER PERS. COMAND./FUORI RUOLO/IN CONV. (-)</v>
      </c>
      <c r="B29" s="324" t="str">
        <f>'t14'!B28</f>
        <v>P090</v>
      </c>
      <c r="C29" s="321">
        <f>'t14'!D28</f>
        <v>0</v>
      </c>
      <c r="D29" s="422" t="str">
        <f t="shared" si="2"/>
        <v xml:space="preserve"> </v>
      </c>
      <c r="E29" s="1564"/>
      <c r="F29" s="1565"/>
      <c r="G29" s="1566"/>
      <c r="H29" s="416"/>
      <c r="I29" s="416"/>
      <c r="J29" s="416"/>
      <c r="K29" s="416"/>
      <c r="L29" s="416"/>
      <c r="M29" s="416"/>
      <c r="N29" s="416"/>
    </row>
    <row r="30" spans="1:14" ht="19.5" customHeight="1" thickBot="1">
      <c r="A30" s="217" t="str">
        <f>'t14'!A29</f>
        <v>ALTRI RIMBORSI RICEVUTI DALLE AMMINISTRAZIONI (-)</v>
      </c>
      <c r="B30" s="324" t="str">
        <f>'t14'!B29</f>
        <v>P099</v>
      </c>
      <c r="C30" s="321">
        <f>'t14'!D29</f>
        <v>0</v>
      </c>
      <c r="D30" s="422" t="str">
        <f t="shared" si="2"/>
        <v xml:space="preserve"> </v>
      </c>
      <c r="E30" s="1567"/>
      <c r="F30" s="1568"/>
      <c r="G30" s="1569"/>
      <c r="H30" s="416"/>
      <c r="I30" s="416"/>
      <c r="J30" s="416"/>
      <c r="K30" s="416"/>
      <c r="L30" s="416"/>
      <c r="M30" s="416"/>
      <c r="N30" s="416"/>
    </row>
    <row r="31" spans="1:14" s="415" customFormat="1" ht="18" customHeight="1">
      <c r="A31" s="413" t="s">
        <v>107</v>
      </c>
      <c r="B31" s="413"/>
      <c r="C31" s="414">
        <f>SUM(C6:C30)</f>
        <v>28177</v>
      </c>
      <c r="D31" s="413"/>
      <c r="E31" s="413"/>
      <c r="F31" s="413"/>
      <c r="G31" s="413"/>
      <c r="I31" s="417"/>
      <c r="J31" s="417"/>
      <c r="K31" s="417"/>
      <c r="L31" s="417"/>
      <c r="M31" s="417"/>
      <c r="N31" s="417"/>
    </row>
  </sheetData>
  <sheetProtection password="EA98" sheet="1" formatColumns="0" selectLockedCells="1" selectUnlockedCells="1"/>
  <mergeCells count="16">
    <mergeCell ref="E25:G30"/>
    <mergeCell ref="E6:G11"/>
    <mergeCell ref="E12:G12"/>
    <mergeCell ref="F21:G21"/>
    <mergeCell ref="F23:G23"/>
    <mergeCell ref="E13:G13"/>
    <mergeCell ref="E17:G20"/>
    <mergeCell ref="E22:G22"/>
    <mergeCell ref="E14:F14"/>
    <mergeCell ref="E15:F15"/>
    <mergeCell ref="E24:G24"/>
    <mergeCell ref="E16:F16"/>
    <mergeCell ref="A1:E1"/>
    <mergeCell ref="B2:G2"/>
    <mergeCell ref="B4:G4"/>
    <mergeCell ref="E5:G5"/>
  </mergeCells>
  <phoneticPr fontId="30" type="noConversion"/>
  <printOptions horizontalCentered="1" verticalCentered="1"/>
  <pageMargins left="0.19685039370078741" right="0.23622047244094491" top="0.19685039370078741" bottom="0.19685039370078741" header="0.15748031496062992" footer="0.15748031496062992"/>
  <pageSetup paperSize="9" scale="72" orientation="landscape" horizontalDpi="300" verticalDpi="300" r:id="rId1"/>
  <headerFooter alignWithMargins="0"/>
  <ignoredErrors>
    <ignoredError sqref="D24" formula="1"/>
  </ignoredErrors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0">
    <pageSetUpPr fitToPage="1"/>
  </sheetPr>
  <dimension ref="A1:K49"/>
  <sheetViews>
    <sheetView showGridLines="0" workbookViewId="0">
      <pane ySplit="5" topLeftCell="A6" activePane="bottomLeft" state="frozen"/>
      <selection activeCell="A2" sqref="A2"/>
      <selection pane="bottomLeft" activeCell="A5" sqref="A5"/>
    </sheetView>
  </sheetViews>
  <sheetFormatPr defaultRowHeight="10.199999999999999"/>
  <cols>
    <col min="1" max="1" width="38.85546875" style="5" customWidth="1"/>
    <col min="2" max="2" width="11.28515625" style="7" customWidth="1"/>
    <col min="3" max="3" width="21.28515625" style="410" customWidth="1"/>
    <col min="4" max="5" width="21.28515625" style="7" customWidth="1"/>
    <col min="6" max="6" width="21.28515625" style="356" customWidth="1"/>
    <col min="7" max="7" width="21.28515625" style="7" customWidth="1"/>
    <col min="8" max="8" width="9.28515625" style="110" customWidth="1"/>
  </cols>
  <sheetData>
    <row r="1" spans="1:11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I1" s="3"/>
      <c r="K1"/>
    </row>
    <row r="2" spans="1:11" s="5" customFormat="1" ht="21" customHeight="1">
      <c r="C2" s="407"/>
      <c r="D2" s="1524"/>
      <c r="E2" s="1524"/>
      <c r="F2" s="1524"/>
      <c r="G2" s="1524"/>
      <c r="H2" s="315"/>
      <c r="I2" s="3"/>
      <c r="K2"/>
    </row>
    <row r="3" spans="1:11" s="5" customFormat="1" ht="21" customHeight="1">
      <c r="A3" s="196" t="s">
        <v>371</v>
      </c>
      <c r="B3" s="7"/>
      <c r="C3" s="407"/>
      <c r="F3" s="357"/>
      <c r="G3" s="7"/>
    </row>
    <row r="4" spans="1:11" ht="53.25" customHeight="1">
      <c r="A4" s="181" t="s">
        <v>270</v>
      </c>
      <c r="B4" s="183" t="s">
        <v>232</v>
      </c>
      <c r="C4" s="408" t="str">
        <f>"Presenti 31.12."&amp;'t1'!M1&amp;" (Tab T1) uomini+donne della tabella T1"</f>
        <v>Presenti 31.12.2017 (Tab T1) uomini+donne della tabella T1</v>
      </c>
      <c r="D4" s="182" t="s">
        <v>366</v>
      </c>
      <c r="E4" s="182" t="s">
        <v>369</v>
      </c>
      <c r="F4" s="411" t="s">
        <v>370</v>
      </c>
      <c r="G4" s="182" t="s">
        <v>372</v>
      </c>
    </row>
    <row r="5" spans="1:11" s="200" customFormat="1">
      <c r="A5" s="180"/>
      <c r="B5" s="194"/>
      <c r="C5" s="409" t="s">
        <v>234</v>
      </c>
      <c r="D5" s="198" t="s">
        <v>235</v>
      </c>
      <c r="E5" s="198" t="s">
        <v>236</v>
      </c>
      <c r="F5" s="412" t="s">
        <v>237</v>
      </c>
      <c r="G5" s="198"/>
      <c r="H5" s="110"/>
    </row>
    <row r="6" spans="1:11" ht="13.2">
      <c r="A6" s="139" t="str">
        <f>'t1'!A6</f>
        <v>SEGRETARIO A</v>
      </c>
      <c r="B6" s="318" t="str">
        <f>'t1'!B6</f>
        <v>0D0102</v>
      </c>
      <c r="C6" s="752">
        <f>('t1'!L6+'t1'!M6)</f>
        <v>0</v>
      </c>
      <c r="D6" s="337">
        <f>'t5'!S7+'t5'!T7</f>
        <v>0</v>
      </c>
      <c r="E6" s="337">
        <f>'t4'!AU6</f>
        <v>0</v>
      </c>
      <c r="F6" s="338">
        <f>'t12'!C6</f>
        <v>0</v>
      </c>
      <c r="G6" s="358" t="str">
        <f>IF(OR(AND(NOT(C6),NOT(D6),NOT(E6),NOT(F6)),AND((OR(C6,D6,E6)),F6)),"OK","ERRORE")</f>
        <v>OK</v>
      </c>
    </row>
    <row r="7" spans="1:11" ht="13.2">
      <c r="A7" s="139" t="str">
        <f>'t1'!A7</f>
        <v>SEGRETARIO B</v>
      </c>
      <c r="B7" s="318" t="str">
        <f>'t1'!B7</f>
        <v>0D0103</v>
      </c>
      <c r="C7" s="752">
        <f>('t1'!L7+'t1'!M7)</f>
        <v>0</v>
      </c>
      <c r="D7" s="337">
        <f>'t5'!S8+'t5'!T8</f>
        <v>0</v>
      </c>
      <c r="E7" s="337">
        <f>'t4'!AU7</f>
        <v>0</v>
      </c>
      <c r="F7" s="338">
        <f>'t12'!C7</f>
        <v>0</v>
      </c>
      <c r="G7" s="358" t="str">
        <f t="shared" ref="G7:G49" si="0">IF(OR(AND(NOT(C7),NOT(D7),NOT(E7),NOT(F7)),AND((OR(C7,D7,E7)),F7)),"OK","ERRORE")</f>
        <v>OK</v>
      </c>
    </row>
    <row r="8" spans="1:11" ht="13.2">
      <c r="A8" s="139" t="str">
        <f>'t1'!A8</f>
        <v>SEGRETARIO C</v>
      </c>
      <c r="B8" s="318" t="str">
        <f>'t1'!B8</f>
        <v>0D0485</v>
      </c>
      <c r="C8" s="752">
        <f>('t1'!L8+'t1'!M8)</f>
        <v>0</v>
      </c>
      <c r="D8" s="337">
        <f>'t5'!S9+'t5'!T9</f>
        <v>0</v>
      </c>
      <c r="E8" s="337">
        <f>'t4'!AU8</f>
        <v>0</v>
      </c>
      <c r="F8" s="338">
        <f>'t12'!C8</f>
        <v>0</v>
      </c>
      <c r="G8" s="358" t="str">
        <f t="shared" si="0"/>
        <v>OK</v>
      </c>
    </row>
    <row r="9" spans="1:11" ht="13.2">
      <c r="A9" s="139" t="str">
        <f>'t1'!A9</f>
        <v>SEGRETARIO GENERALE CCIAA</v>
      </c>
      <c r="B9" s="318" t="str">
        <f>'t1'!B9</f>
        <v>0D0104</v>
      </c>
      <c r="C9" s="752">
        <f>('t1'!L9+'t1'!M9)</f>
        <v>0</v>
      </c>
      <c r="D9" s="337">
        <f>'t5'!S10+'t5'!T10</f>
        <v>0</v>
      </c>
      <c r="E9" s="337">
        <f>'t4'!AU9</f>
        <v>0</v>
      </c>
      <c r="F9" s="338">
        <f>'t12'!C9</f>
        <v>0</v>
      </c>
      <c r="G9" s="358" t="str">
        <f t="shared" si="0"/>
        <v>OK</v>
      </c>
    </row>
    <row r="10" spans="1:11" ht="13.2">
      <c r="A10" s="139" t="str">
        <f>'t1'!A10</f>
        <v>DIRETTORE  GENERALE</v>
      </c>
      <c r="B10" s="318" t="str">
        <f>'t1'!B10</f>
        <v>0D0097</v>
      </c>
      <c r="C10" s="752">
        <f>('t1'!L10+'t1'!M10)</f>
        <v>0</v>
      </c>
      <c r="D10" s="337">
        <f>'t5'!S11+'t5'!T11</f>
        <v>0</v>
      </c>
      <c r="E10" s="337">
        <f>'t4'!AU10</f>
        <v>0</v>
      </c>
      <c r="F10" s="338">
        <f>'t12'!C10</f>
        <v>0</v>
      </c>
      <c r="G10" s="358" t="str">
        <f t="shared" si="0"/>
        <v>OK</v>
      </c>
    </row>
    <row r="11" spans="1:11" ht="13.2">
      <c r="A11" s="139" t="str">
        <f>'t1'!A11</f>
        <v>DIRIGENTE FUORI D.O. art.110 c.2 TUEL</v>
      </c>
      <c r="B11" s="318" t="str">
        <f>'t1'!B11</f>
        <v>0D0098</v>
      </c>
      <c r="C11" s="752">
        <f>('t1'!L11+'t1'!M11)</f>
        <v>0</v>
      </c>
      <c r="D11" s="337">
        <f>'t5'!S12+'t5'!T12</f>
        <v>0</v>
      </c>
      <c r="E11" s="337">
        <f>'t4'!AU11</f>
        <v>0</v>
      </c>
      <c r="F11" s="338">
        <f>'t12'!C11</f>
        <v>0</v>
      </c>
      <c r="G11" s="358" t="str">
        <f t="shared" si="0"/>
        <v>OK</v>
      </c>
    </row>
    <row r="12" spans="1:11" ht="13.2">
      <c r="A12" s="139" t="str">
        <f>'t1'!A12</f>
        <v>ALTE SPECIALIZZ. FUORI D.O.art.110 c.2 TUEL</v>
      </c>
      <c r="B12" s="318" t="str">
        <f>'t1'!B12</f>
        <v>0D0095</v>
      </c>
      <c r="C12" s="752">
        <f>('t1'!L12+'t1'!M12)</f>
        <v>0</v>
      </c>
      <c r="D12" s="337">
        <f>'t5'!S13+'t5'!T13</f>
        <v>0</v>
      </c>
      <c r="E12" s="337">
        <f>'t4'!AU12</f>
        <v>0</v>
      </c>
      <c r="F12" s="338">
        <f>'t12'!C12</f>
        <v>0</v>
      </c>
      <c r="G12" s="358" t="str">
        <f t="shared" si="0"/>
        <v>OK</v>
      </c>
    </row>
    <row r="13" spans="1:11" ht="13.2">
      <c r="A13" s="139" t="str">
        <f>'t1'!A13</f>
        <v>DIRIGENTE A TEMPO INDETERMINATO</v>
      </c>
      <c r="B13" s="318" t="str">
        <f>'t1'!B13</f>
        <v>0D0164</v>
      </c>
      <c r="C13" s="752">
        <f>('t1'!L13+'t1'!M13)</f>
        <v>0</v>
      </c>
      <c r="D13" s="337">
        <f>'t5'!S14+'t5'!T14</f>
        <v>0</v>
      </c>
      <c r="E13" s="337">
        <f>'t4'!AU13</f>
        <v>0</v>
      </c>
      <c r="F13" s="338">
        <f>'t12'!C13</f>
        <v>0</v>
      </c>
      <c r="G13" s="358" t="str">
        <f t="shared" si="0"/>
        <v>OK</v>
      </c>
    </row>
    <row r="14" spans="1:11" ht="13.2">
      <c r="A14" s="139" t="str">
        <f>'t1'!A14</f>
        <v>DIRIGENTE A TEMPO DET.TO  ART.110 C.1 TUEL</v>
      </c>
      <c r="B14" s="318" t="str">
        <f>'t1'!B14</f>
        <v>0D0165</v>
      </c>
      <c r="C14" s="752">
        <f>('t1'!L14+'t1'!M14)</f>
        <v>0</v>
      </c>
      <c r="D14" s="337">
        <f>'t5'!S15+'t5'!T15</f>
        <v>0</v>
      </c>
      <c r="E14" s="337">
        <f>'t4'!AU14</f>
        <v>0</v>
      </c>
      <c r="F14" s="338">
        <f>'t12'!C14</f>
        <v>0</v>
      </c>
      <c r="G14" s="358" t="str">
        <f t="shared" si="0"/>
        <v>OK</v>
      </c>
    </row>
    <row r="15" spans="1:11" ht="13.2">
      <c r="A15" s="139" t="str">
        <f>'t1'!A15</f>
        <v>ALTE SPECIALIZZ. IN D.O. art.110 c.1 TUEL</v>
      </c>
      <c r="B15" s="318" t="str">
        <f>'t1'!B15</f>
        <v>0D0I95</v>
      </c>
      <c r="C15" s="752">
        <f>('t1'!L15+'t1'!M15)</f>
        <v>0</v>
      </c>
      <c r="D15" s="337">
        <f>'t5'!S16+'t5'!T16</f>
        <v>0</v>
      </c>
      <c r="E15" s="337">
        <f>'t4'!AU15</f>
        <v>0</v>
      </c>
      <c r="F15" s="338">
        <f>'t12'!C15</f>
        <v>0</v>
      </c>
      <c r="G15" s="358" t="str">
        <f t="shared" si="0"/>
        <v>OK</v>
      </c>
    </row>
    <row r="16" spans="1:11" ht="13.2">
      <c r="A16" s="139" t="str">
        <f>'t1'!A16</f>
        <v>POSIZ. ECON. D6 - PROFILI ACCESSO D3</v>
      </c>
      <c r="B16" s="318" t="str">
        <f>'t1'!B16</f>
        <v>0D6A00</v>
      </c>
      <c r="C16" s="752">
        <f>('t1'!L16+'t1'!M16)</f>
        <v>0</v>
      </c>
      <c r="D16" s="337">
        <f>'t5'!S17+'t5'!T17</f>
        <v>0</v>
      </c>
      <c r="E16" s="337">
        <f>'t4'!AU16</f>
        <v>0</v>
      </c>
      <c r="F16" s="338">
        <f>'t12'!C16</f>
        <v>0</v>
      </c>
      <c r="G16" s="358" t="str">
        <f t="shared" si="0"/>
        <v>OK</v>
      </c>
    </row>
    <row r="17" spans="1:7" ht="13.2">
      <c r="A17" s="139" t="str">
        <f>'t1'!A17</f>
        <v>POSIZ. ECON. D6 - PROFILO ACCESSO D1</v>
      </c>
      <c r="B17" s="318" t="str">
        <f>'t1'!B17</f>
        <v>0D6000</v>
      </c>
      <c r="C17" s="752">
        <f>('t1'!L17+'t1'!M17)</f>
        <v>0</v>
      </c>
      <c r="D17" s="337">
        <f>'t5'!S18+'t5'!T18</f>
        <v>0</v>
      </c>
      <c r="E17" s="337">
        <f>'t4'!AU17</f>
        <v>0</v>
      </c>
      <c r="F17" s="338">
        <f>'t12'!C17</f>
        <v>0</v>
      </c>
      <c r="G17" s="358" t="str">
        <f t="shared" si="0"/>
        <v>OK</v>
      </c>
    </row>
    <row r="18" spans="1:7" ht="13.2">
      <c r="A18" s="139" t="str">
        <f>'t1'!A18</f>
        <v>POSIZ. ECON. D5 PROFILI ACCESSO D3</v>
      </c>
      <c r="B18" s="318" t="str">
        <f>'t1'!B18</f>
        <v>052486</v>
      </c>
      <c r="C18" s="752">
        <f>('t1'!L18+'t1'!M18)</f>
        <v>0</v>
      </c>
      <c r="D18" s="337">
        <f>'t5'!S19+'t5'!T19</f>
        <v>0</v>
      </c>
      <c r="E18" s="337">
        <f>'t4'!AU18</f>
        <v>0</v>
      </c>
      <c r="F18" s="338">
        <f>'t12'!C18</f>
        <v>0</v>
      </c>
      <c r="G18" s="358" t="str">
        <f t="shared" si="0"/>
        <v>OK</v>
      </c>
    </row>
    <row r="19" spans="1:7" ht="13.2">
      <c r="A19" s="139" t="str">
        <f>'t1'!A19</f>
        <v>POSIZ. ECON. D5 PROFILI ACCESSO D1</v>
      </c>
      <c r="B19" s="318" t="str">
        <f>'t1'!B19</f>
        <v>052487</v>
      </c>
      <c r="C19" s="752">
        <f>('t1'!L19+'t1'!M19)</f>
        <v>0</v>
      </c>
      <c r="D19" s="337">
        <f>'t5'!S20+'t5'!T20</f>
        <v>0</v>
      </c>
      <c r="E19" s="337">
        <f>'t4'!AU19</f>
        <v>0</v>
      </c>
      <c r="F19" s="338">
        <f>'t12'!C19</f>
        <v>0</v>
      </c>
      <c r="G19" s="358" t="str">
        <f t="shared" si="0"/>
        <v>OK</v>
      </c>
    </row>
    <row r="20" spans="1:7" ht="13.2">
      <c r="A20" s="139" t="str">
        <f>'t1'!A20</f>
        <v>POSIZ. ECON. D4 PROFILI ACCESSO D3</v>
      </c>
      <c r="B20" s="318" t="str">
        <f>'t1'!B20</f>
        <v>051488</v>
      </c>
      <c r="C20" s="752">
        <f>('t1'!L20+'t1'!M20)</f>
        <v>0</v>
      </c>
      <c r="D20" s="337">
        <f>'t5'!S21+'t5'!T21</f>
        <v>0</v>
      </c>
      <c r="E20" s="337">
        <f>'t4'!AU20</f>
        <v>0</v>
      </c>
      <c r="F20" s="338">
        <f>'t12'!C20</f>
        <v>0</v>
      </c>
      <c r="G20" s="358" t="str">
        <f t="shared" si="0"/>
        <v>OK</v>
      </c>
    </row>
    <row r="21" spans="1:7" ht="13.2">
      <c r="A21" s="139" t="str">
        <f>'t1'!A21</f>
        <v>POSIZ. ECON. D4 PROFILI ACCESSO D1</v>
      </c>
      <c r="B21" s="318" t="str">
        <f>'t1'!B21</f>
        <v>051489</v>
      </c>
      <c r="C21" s="752">
        <f>('t1'!L21+'t1'!M21)</f>
        <v>0</v>
      </c>
      <c r="D21" s="337">
        <f>'t5'!S22+'t5'!T22</f>
        <v>0</v>
      </c>
      <c r="E21" s="337">
        <f>'t4'!AU21</f>
        <v>0</v>
      </c>
      <c r="F21" s="338">
        <f>'t12'!C21</f>
        <v>0</v>
      </c>
      <c r="G21" s="358" t="str">
        <f t="shared" si="0"/>
        <v>OK</v>
      </c>
    </row>
    <row r="22" spans="1:7" ht="13.2">
      <c r="A22" s="139" t="str">
        <f>'t1'!A22</f>
        <v>POSIZIONE ECONOMICA DI ACCESSO D3</v>
      </c>
      <c r="B22" s="318" t="str">
        <f>'t1'!B22</f>
        <v>058000</v>
      </c>
      <c r="C22" s="752">
        <f>('t1'!L22+'t1'!M22)</f>
        <v>0</v>
      </c>
      <c r="D22" s="337">
        <f>'t5'!S23+'t5'!T23</f>
        <v>0</v>
      </c>
      <c r="E22" s="337">
        <f>'t4'!AU22</f>
        <v>0</v>
      </c>
      <c r="F22" s="338">
        <f>'t12'!C22</f>
        <v>0</v>
      </c>
      <c r="G22" s="358" t="str">
        <f t="shared" si="0"/>
        <v>OK</v>
      </c>
    </row>
    <row r="23" spans="1:7" ht="13.2">
      <c r="A23" s="139" t="str">
        <f>'t1'!A23</f>
        <v>POSIZIONE ECONOMICA D3</v>
      </c>
      <c r="B23" s="318" t="str">
        <f>'t1'!B23</f>
        <v>050000</v>
      </c>
      <c r="C23" s="752">
        <f>('t1'!L23+'t1'!M23)</f>
        <v>0</v>
      </c>
      <c r="D23" s="337">
        <f>'t5'!S24+'t5'!T24</f>
        <v>0</v>
      </c>
      <c r="E23" s="337">
        <f>'t4'!AU23</f>
        <v>0</v>
      </c>
      <c r="F23" s="338">
        <f>'t12'!C23</f>
        <v>0</v>
      </c>
      <c r="G23" s="358" t="str">
        <f t="shared" si="0"/>
        <v>OK</v>
      </c>
    </row>
    <row r="24" spans="1:7" ht="13.2">
      <c r="A24" s="139" t="str">
        <f>'t1'!A24</f>
        <v>POSIZIONE ECONOMICA D2</v>
      </c>
      <c r="B24" s="318" t="str">
        <f>'t1'!B24</f>
        <v>049000</v>
      </c>
      <c r="C24" s="752">
        <f>('t1'!L24+'t1'!M24)</f>
        <v>0</v>
      </c>
      <c r="D24" s="337">
        <f>'t5'!S25+'t5'!T25</f>
        <v>2</v>
      </c>
      <c r="E24" s="337">
        <f>'t4'!AU24</f>
        <v>0</v>
      </c>
      <c r="F24" s="338">
        <f>'t12'!C24</f>
        <v>7.24</v>
      </c>
      <c r="G24" s="358" t="str">
        <f t="shared" si="0"/>
        <v>OK</v>
      </c>
    </row>
    <row r="25" spans="1:7" ht="13.2">
      <c r="A25" s="139" t="str">
        <f>'t1'!A25</f>
        <v>POSIZIONE ECONOMICA DI ACCESSO D1</v>
      </c>
      <c r="B25" s="318" t="str">
        <f>'t1'!B25</f>
        <v>057000</v>
      </c>
      <c r="C25" s="752">
        <f>('t1'!L25+'t1'!M25)</f>
        <v>1</v>
      </c>
      <c r="D25" s="337">
        <f>'t5'!S26+'t5'!T26</f>
        <v>0</v>
      </c>
      <c r="E25" s="337">
        <f>'t4'!AU25</f>
        <v>0</v>
      </c>
      <c r="F25" s="338">
        <f>'t12'!C25</f>
        <v>0.92</v>
      </c>
      <c r="G25" s="358" t="str">
        <f t="shared" si="0"/>
        <v>OK</v>
      </c>
    </row>
    <row r="26" spans="1:7" ht="13.2">
      <c r="A26" s="139" t="str">
        <f>'t1'!A26</f>
        <v>POSIZIONE ECONOMICA C5</v>
      </c>
      <c r="B26" s="318" t="str">
        <f>'t1'!B26</f>
        <v>046000</v>
      </c>
      <c r="C26" s="752">
        <f>('t1'!L26+'t1'!M26)</f>
        <v>0</v>
      </c>
      <c r="D26" s="337">
        <f>'t5'!S27+'t5'!T27</f>
        <v>0</v>
      </c>
      <c r="E26" s="337">
        <f>'t4'!AU26</f>
        <v>0</v>
      </c>
      <c r="F26" s="338">
        <f>'t12'!C26</f>
        <v>0</v>
      </c>
      <c r="G26" s="358" t="str">
        <f t="shared" si="0"/>
        <v>OK</v>
      </c>
    </row>
    <row r="27" spans="1:7" ht="13.2">
      <c r="A27" s="139" t="str">
        <f>'t1'!A27</f>
        <v>POSIZIONE ECONOMICA C4</v>
      </c>
      <c r="B27" s="318" t="str">
        <f>'t1'!B27</f>
        <v>045000</v>
      </c>
      <c r="C27" s="752">
        <f>('t1'!L27+'t1'!M27)</f>
        <v>0</v>
      </c>
      <c r="D27" s="337">
        <f>'t5'!S28+'t5'!T28</f>
        <v>0</v>
      </c>
      <c r="E27" s="337">
        <f>'t4'!AU27</f>
        <v>0</v>
      </c>
      <c r="F27" s="338">
        <f>'t12'!C27</f>
        <v>0</v>
      </c>
      <c r="G27" s="358" t="str">
        <f t="shared" si="0"/>
        <v>OK</v>
      </c>
    </row>
    <row r="28" spans="1:7" ht="13.2">
      <c r="A28" s="139" t="str">
        <f>'t1'!A28</f>
        <v>POSIZIONE ECONOMICA C3</v>
      </c>
      <c r="B28" s="318" t="str">
        <f>'t1'!B28</f>
        <v>043000</v>
      </c>
      <c r="C28" s="752">
        <f>('t1'!L28+'t1'!M28)</f>
        <v>0</v>
      </c>
      <c r="D28" s="337">
        <f>'t5'!S29+'t5'!T29</f>
        <v>0</v>
      </c>
      <c r="E28" s="337">
        <f>'t4'!AU28</f>
        <v>0</v>
      </c>
      <c r="F28" s="338">
        <f>'t12'!C28</f>
        <v>0</v>
      </c>
      <c r="G28" s="358" t="str">
        <f t="shared" si="0"/>
        <v>OK</v>
      </c>
    </row>
    <row r="29" spans="1:7" ht="13.2">
      <c r="A29" s="139" t="str">
        <f>'t1'!A29</f>
        <v>POSIZIONE ECONOMICA C2</v>
      </c>
      <c r="B29" s="318" t="str">
        <f>'t1'!B29</f>
        <v>042000</v>
      </c>
      <c r="C29" s="752">
        <f>('t1'!L29+'t1'!M29)</f>
        <v>1</v>
      </c>
      <c r="D29" s="337">
        <f>'t5'!S30+'t5'!T30</f>
        <v>0</v>
      </c>
      <c r="E29" s="337">
        <f>'t4'!AU29</f>
        <v>0</v>
      </c>
      <c r="F29" s="338">
        <f>'t12'!C29</f>
        <v>12</v>
      </c>
      <c r="G29" s="358" t="str">
        <f t="shared" si="0"/>
        <v>OK</v>
      </c>
    </row>
    <row r="30" spans="1:7" ht="13.2">
      <c r="A30" s="139" t="str">
        <f>'t1'!A30</f>
        <v>POSIZIONE ECONOMICA DI ACCESSO C1</v>
      </c>
      <c r="B30" s="318" t="str">
        <f>'t1'!B30</f>
        <v>056000</v>
      </c>
      <c r="C30" s="752">
        <f>('t1'!L30+'t1'!M30)</f>
        <v>2</v>
      </c>
      <c r="D30" s="337">
        <f>'t5'!S31+'t5'!T31</f>
        <v>2</v>
      </c>
      <c r="E30" s="337">
        <f>'t4'!AU30</f>
        <v>0</v>
      </c>
      <c r="F30" s="338">
        <f>'t12'!C30</f>
        <v>15.57</v>
      </c>
      <c r="G30" s="358" t="str">
        <f t="shared" si="0"/>
        <v>OK</v>
      </c>
    </row>
    <row r="31" spans="1:7" ht="13.2">
      <c r="A31" s="139" t="str">
        <f>'t1'!A31</f>
        <v>POSIZ. ECON. B7 - PROFILO ACCESSO B3</v>
      </c>
      <c r="B31" s="318" t="str">
        <f>'t1'!B31</f>
        <v>0B7A00</v>
      </c>
      <c r="C31" s="752">
        <f>('t1'!L31+'t1'!M31)</f>
        <v>0</v>
      </c>
      <c r="D31" s="337">
        <f>'t5'!S32+'t5'!T32</f>
        <v>0</v>
      </c>
      <c r="E31" s="337">
        <f>'t4'!AU31</f>
        <v>0</v>
      </c>
      <c r="F31" s="338">
        <f>'t12'!C31</f>
        <v>0</v>
      </c>
      <c r="G31" s="358" t="str">
        <f t="shared" si="0"/>
        <v>OK</v>
      </c>
    </row>
    <row r="32" spans="1:7" ht="13.2">
      <c r="A32" s="139" t="str">
        <f>'t1'!A32</f>
        <v>POSIZ. ECON. B7 - PROFILO  ACCESSO B1</v>
      </c>
      <c r="B32" s="318" t="str">
        <f>'t1'!B32</f>
        <v>0B7000</v>
      </c>
      <c r="C32" s="752">
        <f>('t1'!L32+'t1'!M32)</f>
        <v>0</v>
      </c>
      <c r="D32" s="337">
        <f>'t5'!S33+'t5'!T33</f>
        <v>0</v>
      </c>
      <c r="E32" s="337">
        <f>'t4'!AU32</f>
        <v>0</v>
      </c>
      <c r="F32" s="338">
        <f>'t12'!C32</f>
        <v>0</v>
      </c>
      <c r="G32" s="358" t="str">
        <f t="shared" si="0"/>
        <v>OK</v>
      </c>
    </row>
    <row r="33" spans="1:7" ht="13.2">
      <c r="A33" s="139" t="str">
        <f>'t1'!A33</f>
        <v>POSIZ. ECON. B6 PROFILI ACCESSO B3</v>
      </c>
      <c r="B33" s="318" t="str">
        <f>'t1'!B33</f>
        <v>038490</v>
      </c>
      <c r="C33" s="752">
        <f>('t1'!L33+'t1'!M33)</f>
        <v>0</v>
      </c>
      <c r="D33" s="337">
        <f>'t5'!S34+'t5'!T34</f>
        <v>0</v>
      </c>
      <c r="E33" s="337">
        <f>'t4'!AU33</f>
        <v>0</v>
      </c>
      <c r="F33" s="338">
        <f>'t12'!C33</f>
        <v>0</v>
      </c>
      <c r="G33" s="358" t="str">
        <f t="shared" si="0"/>
        <v>OK</v>
      </c>
    </row>
    <row r="34" spans="1:7" ht="13.2">
      <c r="A34" s="139" t="str">
        <f>'t1'!A34</f>
        <v>POSIZ. ECON. B6 PROFILI ACCESSO B1</v>
      </c>
      <c r="B34" s="318" t="str">
        <f>'t1'!B34</f>
        <v>038491</v>
      </c>
      <c r="C34" s="752">
        <f>('t1'!L34+'t1'!M34)</f>
        <v>0</v>
      </c>
      <c r="D34" s="337">
        <f>'t5'!S35+'t5'!T35</f>
        <v>0</v>
      </c>
      <c r="E34" s="337">
        <f>'t4'!AU34</f>
        <v>0</v>
      </c>
      <c r="F34" s="338">
        <f>'t12'!C34</f>
        <v>0</v>
      </c>
      <c r="G34" s="358" t="str">
        <f t="shared" si="0"/>
        <v>OK</v>
      </c>
    </row>
    <row r="35" spans="1:7" ht="13.2">
      <c r="A35" s="139" t="str">
        <f>'t1'!A35</f>
        <v>POSIZ. ECON. B5 PROFILI ACCESSO B3</v>
      </c>
      <c r="B35" s="318" t="str">
        <f>'t1'!B35</f>
        <v>037492</v>
      </c>
      <c r="C35" s="752">
        <f>('t1'!L35+'t1'!M35)</f>
        <v>0</v>
      </c>
      <c r="D35" s="337">
        <f>'t5'!S36+'t5'!T36</f>
        <v>0</v>
      </c>
      <c r="E35" s="337">
        <f>'t4'!AU35</f>
        <v>0</v>
      </c>
      <c r="F35" s="338">
        <f>'t12'!C35</f>
        <v>0</v>
      </c>
      <c r="G35" s="358" t="str">
        <f t="shared" si="0"/>
        <v>OK</v>
      </c>
    </row>
    <row r="36" spans="1:7" ht="13.2">
      <c r="A36" s="139" t="str">
        <f>'t1'!A36</f>
        <v>POSIZ. ECON. B5 PROFILI ACCESSO B1</v>
      </c>
      <c r="B36" s="318" t="str">
        <f>'t1'!B36</f>
        <v>037493</v>
      </c>
      <c r="C36" s="752">
        <f>('t1'!L36+'t1'!M36)</f>
        <v>0</v>
      </c>
      <c r="D36" s="337">
        <f>'t5'!S37+'t5'!T37</f>
        <v>0</v>
      </c>
      <c r="E36" s="337">
        <f>'t4'!AU36</f>
        <v>0</v>
      </c>
      <c r="F36" s="338">
        <f>'t12'!C36</f>
        <v>0</v>
      </c>
      <c r="G36" s="358" t="str">
        <f t="shared" si="0"/>
        <v>OK</v>
      </c>
    </row>
    <row r="37" spans="1:7" ht="13.2">
      <c r="A37" s="139" t="str">
        <f>'t1'!A37</f>
        <v>POSIZ. ECON. B4 PROFILI ACCESSO B3</v>
      </c>
      <c r="B37" s="318" t="str">
        <f>'t1'!B37</f>
        <v>036494</v>
      </c>
      <c r="C37" s="752">
        <f>('t1'!L37+'t1'!M37)</f>
        <v>0</v>
      </c>
      <c r="D37" s="337">
        <f>'t5'!S38+'t5'!T38</f>
        <v>0</v>
      </c>
      <c r="E37" s="337">
        <f>'t4'!AU37</f>
        <v>0</v>
      </c>
      <c r="F37" s="338">
        <f>'t12'!C37</f>
        <v>0</v>
      </c>
      <c r="G37" s="358" t="str">
        <f t="shared" si="0"/>
        <v>OK</v>
      </c>
    </row>
    <row r="38" spans="1:7" ht="13.2">
      <c r="A38" s="139" t="str">
        <f>'t1'!A38</f>
        <v>POSIZ. ECON. B4 PROFILI ACCESSO B1</v>
      </c>
      <c r="B38" s="318" t="str">
        <f>'t1'!B38</f>
        <v>036495</v>
      </c>
      <c r="C38" s="752">
        <f>('t1'!L38+'t1'!M38)</f>
        <v>0</v>
      </c>
      <c r="D38" s="337">
        <f>'t5'!S39+'t5'!T39</f>
        <v>0</v>
      </c>
      <c r="E38" s="337">
        <f>'t4'!AU38</f>
        <v>0</v>
      </c>
      <c r="F38" s="338">
        <f>'t12'!C38</f>
        <v>0</v>
      </c>
      <c r="G38" s="358" t="str">
        <f t="shared" si="0"/>
        <v>OK</v>
      </c>
    </row>
    <row r="39" spans="1:7" ht="13.2">
      <c r="A39" s="139" t="str">
        <f>'t1'!A39</f>
        <v>POSIZIONE ECONOMICA DI ACCESSO B3</v>
      </c>
      <c r="B39" s="318" t="str">
        <f>'t1'!B39</f>
        <v>055000</v>
      </c>
      <c r="C39" s="752">
        <f>('t1'!L39+'t1'!M39)</f>
        <v>0</v>
      </c>
      <c r="D39" s="337">
        <f>'t5'!S40+'t5'!T40</f>
        <v>0</v>
      </c>
      <c r="E39" s="337">
        <f>'t4'!AU39</f>
        <v>0</v>
      </c>
      <c r="F39" s="338">
        <f>'t12'!C39</f>
        <v>0</v>
      </c>
      <c r="G39" s="358" t="str">
        <f t="shared" si="0"/>
        <v>OK</v>
      </c>
    </row>
    <row r="40" spans="1:7" ht="13.2">
      <c r="A40" s="139" t="str">
        <f>'t1'!A40</f>
        <v>POSIZIONE ECONOMICA B3</v>
      </c>
      <c r="B40" s="318" t="str">
        <f>'t1'!B40</f>
        <v>034000</v>
      </c>
      <c r="C40" s="752">
        <f>('t1'!L40+'t1'!M40)</f>
        <v>0</v>
      </c>
      <c r="D40" s="337">
        <f>'t5'!S41+'t5'!T41</f>
        <v>0</v>
      </c>
      <c r="E40" s="337">
        <f>'t4'!AU40</f>
        <v>0</v>
      </c>
      <c r="F40" s="338">
        <f>'t12'!C40</f>
        <v>0</v>
      </c>
      <c r="G40" s="358" t="str">
        <f t="shared" si="0"/>
        <v>OK</v>
      </c>
    </row>
    <row r="41" spans="1:7" ht="13.2">
      <c r="A41" s="139" t="str">
        <f>'t1'!A41</f>
        <v>POSIZIONE ECONOMICA B2</v>
      </c>
      <c r="B41" s="318" t="str">
        <f>'t1'!B41</f>
        <v>032000</v>
      </c>
      <c r="C41" s="752">
        <f>('t1'!L41+'t1'!M41)</f>
        <v>0</v>
      </c>
      <c r="D41" s="337">
        <f>'t5'!S42+'t5'!T42</f>
        <v>0</v>
      </c>
      <c r="E41" s="337">
        <f>'t4'!AU41</f>
        <v>0</v>
      </c>
      <c r="F41" s="338">
        <f>'t12'!C41</f>
        <v>0</v>
      </c>
      <c r="G41" s="358" t="str">
        <f t="shared" si="0"/>
        <v>OK</v>
      </c>
    </row>
    <row r="42" spans="1:7" ht="13.2">
      <c r="A42" s="139" t="str">
        <f>'t1'!A42</f>
        <v>POSIZIONE ECONOMICA DI ACCESSO B1</v>
      </c>
      <c r="B42" s="318" t="str">
        <f>'t1'!B42</f>
        <v>054000</v>
      </c>
      <c r="C42" s="752">
        <f>('t1'!L42+'t1'!M42)</f>
        <v>0</v>
      </c>
      <c r="D42" s="337">
        <f>'t5'!S43+'t5'!T43</f>
        <v>0</v>
      </c>
      <c r="E42" s="337">
        <f>'t4'!AU42</f>
        <v>0</v>
      </c>
      <c r="F42" s="338">
        <f>'t12'!C42</f>
        <v>0</v>
      </c>
      <c r="G42" s="358" t="str">
        <f t="shared" si="0"/>
        <v>OK</v>
      </c>
    </row>
    <row r="43" spans="1:7" ht="13.2">
      <c r="A43" s="139" t="str">
        <f>'t1'!A43</f>
        <v>POSIZIONE ECONOMICA A5</v>
      </c>
      <c r="B43" s="318" t="str">
        <f>'t1'!B43</f>
        <v>0A5000</v>
      </c>
      <c r="C43" s="752">
        <f>('t1'!L43+'t1'!M43)</f>
        <v>0</v>
      </c>
      <c r="D43" s="337">
        <f>'t5'!S44+'t5'!T44</f>
        <v>0</v>
      </c>
      <c r="E43" s="337">
        <f>'t4'!AU43</f>
        <v>0</v>
      </c>
      <c r="F43" s="338">
        <f>'t12'!C43</f>
        <v>0</v>
      </c>
      <c r="G43" s="358" t="str">
        <f t="shared" si="0"/>
        <v>OK</v>
      </c>
    </row>
    <row r="44" spans="1:7" ht="13.2">
      <c r="A44" s="139" t="str">
        <f>'t1'!A44</f>
        <v>POSIZIONE ECONOMICA A4</v>
      </c>
      <c r="B44" s="318" t="str">
        <f>'t1'!B44</f>
        <v>028000</v>
      </c>
      <c r="C44" s="752">
        <f>('t1'!L44+'t1'!M44)</f>
        <v>0</v>
      </c>
      <c r="D44" s="337">
        <f>'t5'!S45+'t5'!T45</f>
        <v>0</v>
      </c>
      <c r="E44" s="337">
        <f>'t4'!AU44</f>
        <v>0</v>
      </c>
      <c r="F44" s="338">
        <f>'t12'!C44</f>
        <v>0</v>
      </c>
      <c r="G44" s="358" t="str">
        <f t="shared" si="0"/>
        <v>OK</v>
      </c>
    </row>
    <row r="45" spans="1:7" ht="13.2">
      <c r="A45" s="139" t="str">
        <f>'t1'!A45</f>
        <v>POSIZIONE ECONOMICA A3</v>
      </c>
      <c r="B45" s="318" t="str">
        <f>'t1'!B45</f>
        <v>027000</v>
      </c>
      <c r="C45" s="752">
        <f>('t1'!L45+'t1'!M45)</f>
        <v>0</v>
      </c>
      <c r="D45" s="337">
        <f>'t5'!S46+'t5'!T46</f>
        <v>0</v>
      </c>
      <c r="E45" s="337">
        <f>'t4'!AU45</f>
        <v>0</v>
      </c>
      <c r="F45" s="338">
        <f>'t12'!C45</f>
        <v>0</v>
      </c>
      <c r="G45" s="358" t="str">
        <f t="shared" si="0"/>
        <v>OK</v>
      </c>
    </row>
    <row r="46" spans="1:7" ht="13.2">
      <c r="A46" s="139" t="str">
        <f>'t1'!A46</f>
        <v>POSIZIONE ECONOMICA A2</v>
      </c>
      <c r="B46" s="318" t="str">
        <f>'t1'!B46</f>
        <v>025000</v>
      </c>
      <c r="C46" s="752">
        <f>('t1'!L46+'t1'!M46)</f>
        <v>0</v>
      </c>
      <c r="D46" s="337">
        <f>'t5'!S47+'t5'!T47</f>
        <v>0</v>
      </c>
      <c r="E46" s="337">
        <f>'t4'!AU46</f>
        <v>0</v>
      </c>
      <c r="F46" s="338">
        <f>'t12'!C46</f>
        <v>0</v>
      </c>
      <c r="G46" s="358" t="str">
        <f t="shared" si="0"/>
        <v>OK</v>
      </c>
    </row>
    <row r="47" spans="1:7" ht="13.2">
      <c r="A47" s="139" t="str">
        <f>'t1'!A47</f>
        <v>POSIZIONE ECONOMICA DI ACCESSO A1</v>
      </c>
      <c r="B47" s="318" t="str">
        <f>'t1'!B47</f>
        <v>053000</v>
      </c>
      <c r="C47" s="752">
        <f>('t1'!L47+'t1'!M47)</f>
        <v>0</v>
      </c>
      <c r="D47" s="337">
        <f>'t5'!S48+'t5'!T48</f>
        <v>0</v>
      </c>
      <c r="E47" s="337">
        <f>'t4'!AU47</f>
        <v>0</v>
      </c>
      <c r="F47" s="338">
        <f>'t12'!C47</f>
        <v>0</v>
      </c>
      <c r="G47" s="358" t="str">
        <f t="shared" si="0"/>
        <v>OK</v>
      </c>
    </row>
    <row r="48" spans="1:7" ht="13.2">
      <c r="A48" s="139" t="str">
        <f>'t1'!A48</f>
        <v>CONTRATTISTI (a)</v>
      </c>
      <c r="B48" s="318" t="str">
        <f>'t1'!B48</f>
        <v>000061</v>
      </c>
      <c r="C48" s="752">
        <f>('t1'!L48+'t1'!M48)</f>
        <v>0</v>
      </c>
      <c r="D48" s="337">
        <f>'t5'!S49+'t5'!T49</f>
        <v>0</v>
      </c>
      <c r="E48" s="337">
        <f>'t4'!AU48</f>
        <v>0</v>
      </c>
      <c r="F48" s="338">
        <f>'t12'!C48</f>
        <v>0</v>
      </c>
      <c r="G48" s="358" t="str">
        <f>IF(OR(AND(NOT(C48),NOT(D48),NOT(E48),NOT(F48)),AND((OR(C48,D48,E48)),F48)),"OK","ERRORE")</f>
        <v>OK</v>
      </c>
    </row>
    <row r="49" spans="1:7" ht="13.2">
      <c r="A49" s="139" t="str">
        <f>'t1'!A49</f>
        <v>COLLABORATORE A T.D. ART. 90 TUEL (b)</v>
      </c>
      <c r="B49" s="318" t="str">
        <f>'t1'!B49</f>
        <v>000096</v>
      </c>
      <c r="C49" s="752">
        <f>('t1'!L49+'t1'!M49)</f>
        <v>0</v>
      </c>
      <c r="D49" s="337">
        <f>'t5'!S50+'t5'!T50</f>
        <v>0</v>
      </c>
      <c r="E49" s="337">
        <f>'t4'!AU49</f>
        <v>0</v>
      </c>
      <c r="F49" s="338">
        <f>'t12'!C49</f>
        <v>0</v>
      </c>
      <c r="G49" s="358" t="str">
        <f t="shared" si="0"/>
        <v>OK</v>
      </c>
    </row>
  </sheetData>
  <sheetProtection password="EA98" sheet="1" formatColumns="0" selectLockedCells="1" selectUnlockedCells="1"/>
  <mergeCells count="2">
    <mergeCell ref="A1:G1"/>
    <mergeCell ref="D2:G2"/>
  </mergeCells>
  <phoneticPr fontId="30" type="noConversion"/>
  <printOptions horizontalCentered="1" verticalCentered="1"/>
  <pageMargins left="0.19685039370078741" right="0.19685039370078741" top="0.19685039370078741" bottom="0.15748031496062992" header="0.15748031496062992" footer="0.15748031496062992"/>
  <pageSetup paperSize="9" scale="81" orientation="landscape" horizontalDpi="0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31">
    <pageSetUpPr fitToPage="1"/>
  </sheetPr>
  <dimension ref="A1:I49"/>
  <sheetViews>
    <sheetView showGridLines="0" workbookViewId="0">
      <pane ySplit="5" topLeftCell="A6" activePane="bottomLeft" state="frozen"/>
      <selection activeCell="A2" sqref="A2"/>
      <selection pane="bottomLeft" activeCell="B5" sqref="B5"/>
    </sheetView>
  </sheetViews>
  <sheetFormatPr defaultRowHeight="10.199999999999999"/>
  <cols>
    <col min="1" max="1" width="43.28515625" style="5" customWidth="1"/>
    <col min="2" max="2" width="11.28515625" style="7" customWidth="1"/>
    <col min="3" max="3" width="22.28515625" style="7" customWidth="1"/>
    <col min="4" max="4" width="26.7109375" style="356" customWidth="1"/>
    <col min="5" max="5" width="15.85546875" style="7" customWidth="1"/>
    <col min="6" max="6" width="9.28515625" style="110" customWidth="1"/>
  </cols>
  <sheetData>
    <row r="1" spans="1:9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G1" s="3"/>
      <c r="I1"/>
    </row>
    <row r="2" spans="1:9" s="5" customFormat="1" ht="12.75" customHeight="1">
      <c r="C2" s="1524"/>
      <c r="D2" s="1524"/>
      <c r="E2" s="1524"/>
      <c r="F2" s="315"/>
      <c r="G2" s="3"/>
      <c r="I2"/>
    </row>
    <row r="3" spans="1:9" s="5" customFormat="1" ht="21" customHeight="1">
      <c r="A3" s="196" t="s">
        <v>509</v>
      </c>
      <c r="B3" s="7"/>
      <c r="D3" s="357"/>
      <c r="E3" s="7"/>
    </row>
    <row r="4" spans="1:9" ht="81.75" customHeight="1">
      <c r="A4" s="181" t="s">
        <v>270</v>
      </c>
      <c r="B4" s="183" t="s">
        <v>232</v>
      </c>
      <c r="C4" s="182" t="s">
        <v>367</v>
      </c>
      <c r="D4" s="411" t="s">
        <v>454</v>
      </c>
      <c r="E4" s="182" t="s">
        <v>425</v>
      </c>
    </row>
    <row r="5" spans="1:9" s="200" customFormat="1">
      <c r="A5" s="180"/>
      <c r="B5" s="194"/>
      <c r="C5" s="198" t="s">
        <v>234</v>
      </c>
      <c r="D5" s="412" t="s">
        <v>235</v>
      </c>
      <c r="E5" s="198"/>
      <c r="F5" s="199"/>
    </row>
    <row r="6" spans="1:9" ht="13.2">
      <c r="A6" s="139" t="str">
        <f>'t1'!A6</f>
        <v>SEGRETARIO A</v>
      </c>
      <c r="B6" s="318" t="str">
        <f>'t1'!B6</f>
        <v>0D0102</v>
      </c>
      <c r="C6" s="337">
        <f>'t13'!W6</f>
        <v>0</v>
      </c>
      <c r="D6" s="338">
        <f>('t3'!M6+'t3'!N6+'t3'!O6+'t3'!P6+'t3'!Q6+'t3'!R6)+('t12'!C6/12)</f>
        <v>0</v>
      </c>
      <c r="E6" s="358" t="str">
        <f>IF(OR((NOT(C6)),(AND(C6&gt;=0,D6&gt;0))),"OK","ERRORE")</f>
        <v>OK</v>
      </c>
    </row>
    <row r="7" spans="1:9" ht="13.2">
      <c r="A7" s="139" t="str">
        <f>'t1'!A7</f>
        <v>SEGRETARIO B</v>
      </c>
      <c r="B7" s="318" t="str">
        <f>'t1'!B7</f>
        <v>0D0103</v>
      </c>
      <c r="C7" s="337">
        <f>'t13'!W7</f>
        <v>4220</v>
      </c>
      <c r="D7" s="338">
        <f>('t3'!M7+'t3'!N7+'t3'!O7+'t3'!P7+'t3'!Q7+'t3'!R7)+('t12'!C7/12)</f>
        <v>0</v>
      </c>
      <c r="E7" s="358" t="str">
        <f t="shared" ref="E7:E49" si="0">IF(OR((NOT(C7)),(AND(C7&gt;=0,D7&gt;0))),"OK","ERRORE")</f>
        <v>ERRORE</v>
      </c>
    </row>
    <row r="8" spans="1:9" ht="13.2">
      <c r="A8" s="139" t="str">
        <f>'t1'!A8</f>
        <v>SEGRETARIO C</v>
      </c>
      <c r="B8" s="318" t="str">
        <f>'t1'!B8</f>
        <v>0D0485</v>
      </c>
      <c r="C8" s="337">
        <f>'t13'!W8</f>
        <v>0</v>
      </c>
      <c r="D8" s="338">
        <f>('t3'!M8+'t3'!N8+'t3'!O8+'t3'!P8+'t3'!Q8+'t3'!R8)+('t12'!C8/12)</f>
        <v>0</v>
      </c>
      <c r="E8" s="358" t="str">
        <f t="shared" si="0"/>
        <v>OK</v>
      </c>
    </row>
    <row r="9" spans="1:9" ht="13.2">
      <c r="A9" s="139" t="str">
        <f>'t1'!A9</f>
        <v>SEGRETARIO GENERALE CCIAA</v>
      </c>
      <c r="B9" s="318" t="str">
        <f>'t1'!B9</f>
        <v>0D0104</v>
      </c>
      <c r="C9" s="337">
        <f>'t13'!W9</f>
        <v>0</v>
      </c>
      <c r="D9" s="338">
        <f>('t3'!M9+'t3'!N9+'t3'!O9+'t3'!P9+'t3'!Q9+'t3'!R9)+('t12'!C9/12)</f>
        <v>0</v>
      </c>
      <c r="E9" s="358" t="str">
        <f t="shared" si="0"/>
        <v>OK</v>
      </c>
    </row>
    <row r="10" spans="1:9" ht="13.2">
      <c r="A10" s="139" t="str">
        <f>'t1'!A10</f>
        <v>DIRETTORE  GENERALE</v>
      </c>
      <c r="B10" s="318" t="str">
        <f>'t1'!B10</f>
        <v>0D0097</v>
      </c>
      <c r="C10" s="337">
        <f>'t13'!W10</f>
        <v>0</v>
      </c>
      <c r="D10" s="338">
        <f>('t3'!M10+'t3'!N10+'t3'!O10+'t3'!P10+'t3'!Q10+'t3'!R10)+('t12'!C10/12)</f>
        <v>0</v>
      </c>
      <c r="E10" s="358" t="str">
        <f t="shared" si="0"/>
        <v>OK</v>
      </c>
    </row>
    <row r="11" spans="1:9" ht="13.2">
      <c r="A11" s="139" t="str">
        <f>'t1'!A11</f>
        <v>DIRIGENTE FUORI D.O. art.110 c.2 TUEL</v>
      </c>
      <c r="B11" s="318" t="str">
        <f>'t1'!B11</f>
        <v>0D0098</v>
      </c>
      <c r="C11" s="337">
        <f>'t13'!W11</f>
        <v>0</v>
      </c>
      <c r="D11" s="338">
        <f>('t3'!M11+'t3'!N11+'t3'!O11+'t3'!P11+'t3'!Q11+'t3'!R11)+('t12'!C11/12)</f>
        <v>0</v>
      </c>
      <c r="E11" s="358" t="str">
        <f t="shared" si="0"/>
        <v>OK</v>
      </c>
    </row>
    <row r="12" spans="1:9" ht="13.2">
      <c r="A12" s="139" t="str">
        <f>'t1'!A12</f>
        <v>ALTE SPECIALIZZ. FUORI D.O.art.110 c.2 TUEL</v>
      </c>
      <c r="B12" s="318" t="str">
        <f>'t1'!B12</f>
        <v>0D0095</v>
      </c>
      <c r="C12" s="337">
        <f>'t13'!W12</f>
        <v>0</v>
      </c>
      <c r="D12" s="338">
        <f>('t3'!M12+'t3'!N12+'t3'!O12+'t3'!P12+'t3'!Q12+'t3'!R12)+('t12'!C12/12)</f>
        <v>0</v>
      </c>
      <c r="E12" s="358" t="str">
        <f t="shared" si="0"/>
        <v>OK</v>
      </c>
    </row>
    <row r="13" spans="1:9" ht="13.2">
      <c r="A13" s="139" t="str">
        <f>'t1'!A13</f>
        <v>DIRIGENTE A TEMPO INDETERMINATO</v>
      </c>
      <c r="B13" s="318" t="str">
        <f>'t1'!B13</f>
        <v>0D0164</v>
      </c>
      <c r="C13" s="337">
        <f>'t13'!W13</f>
        <v>0</v>
      </c>
      <c r="D13" s="338">
        <f>('t3'!M13+'t3'!N13+'t3'!O13+'t3'!P13+'t3'!Q13+'t3'!R13)+('t12'!C13/12)</f>
        <v>0</v>
      </c>
      <c r="E13" s="358" t="str">
        <f t="shared" si="0"/>
        <v>OK</v>
      </c>
    </row>
    <row r="14" spans="1:9" ht="13.2">
      <c r="A14" s="139" t="str">
        <f>'t1'!A14</f>
        <v>DIRIGENTE A TEMPO DET.TO  ART.110 C.1 TUEL</v>
      </c>
      <c r="B14" s="318" t="str">
        <f>'t1'!B14</f>
        <v>0D0165</v>
      </c>
      <c r="C14" s="337">
        <f>'t13'!W14</f>
        <v>0</v>
      </c>
      <c r="D14" s="338">
        <f>('t3'!M14+'t3'!N14+'t3'!O14+'t3'!P14+'t3'!Q14+'t3'!R14)+('t12'!C14/12)</f>
        <v>0</v>
      </c>
      <c r="E14" s="358" t="str">
        <f t="shared" si="0"/>
        <v>OK</v>
      </c>
    </row>
    <row r="15" spans="1:9" ht="13.2">
      <c r="A15" s="139" t="str">
        <f>'t1'!A15</f>
        <v>ALTE SPECIALIZZ. IN D.O. art.110 c.1 TUEL</v>
      </c>
      <c r="B15" s="318" t="str">
        <f>'t1'!B15</f>
        <v>0D0I95</v>
      </c>
      <c r="C15" s="337">
        <f>'t13'!W15</f>
        <v>0</v>
      </c>
      <c r="D15" s="338">
        <f>('t3'!M15+'t3'!N15+'t3'!O15+'t3'!P15+'t3'!Q15+'t3'!R15)+('t12'!C15/12)</f>
        <v>0</v>
      </c>
      <c r="E15" s="358" t="str">
        <f t="shared" si="0"/>
        <v>OK</v>
      </c>
    </row>
    <row r="16" spans="1:9" ht="13.2">
      <c r="A16" s="139" t="str">
        <f>'t1'!A16</f>
        <v>POSIZ. ECON. D6 - PROFILI ACCESSO D3</v>
      </c>
      <c r="B16" s="318" t="str">
        <f>'t1'!B16</f>
        <v>0D6A00</v>
      </c>
      <c r="C16" s="337">
        <f>'t13'!W16</f>
        <v>0</v>
      </c>
      <c r="D16" s="338">
        <f>('t3'!M16+'t3'!N16+'t3'!O16+'t3'!P16+'t3'!Q16+'t3'!R16)+('t12'!C16/12)</f>
        <v>0</v>
      </c>
      <c r="E16" s="358" t="str">
        <f t="shared" si="0"/>
        <v>OK</v>
      </c>
    </row>
    <row r="17" spans="1:5" ht="13.2">
      <c r="A17" s="139" t="str">
        <f>'t1'!A17</f>
        <v>POSIZ. ECON. D6 - PROFILO ACCESSO D1</v>
      </c>
      <c r="B17" s="318" t="str">
        <f>'t1'!B17</f>
        <v>0D6000</v>
      </c>
      <c r="C17" s="337">
        <f>'t13'!W17</f>
        <v>0</v>
      </c>
      <c r="D17" s="338">
        <f>('t3'!M17+'t3'!N17+'t3'!O17+'t3'!P17+'t3'!Q17+'t3'!R17)+('t12'!C17/12)</f>
        <v>0</v>
      </c>
      <c r="E17" s="358" t="str">
        <f t="shared" si="0"/>
        <v>OK</v>
      </c>
    </row>
    <row r="18" spans="1:5" ht="13.2">
      <c r="A18" s="139" t="str">
        <f>'t1'!A18</f>
        <v>POSIZ. ECON. D5 PROFILI ACCESSO D3</v>
      </c>
      <c r="B18" s="318" t="str">
        <f>'t1'!B18</f>
        <v>052486</v>
      </c>
      <c r="C18" s="337">
        <f>'t13'!W18</f>
        <v>0</v>
      </c>
      <c r="D18" s="338">
        <f>('t3'!M18+'t3'!N18+'t3'!O18+'t3'!P18+'t3'!Q18+'t3'!R18)+('t12'!C18/12)</f>
        <v>0</v>
      </c>
      <c r="E18" s="358" t="str">
        <f t="shared" si="0"/>
        <v>OK</v>
      </c>
    </row>
    <row r="19" spans="1:5" ht="13.2">
      <c r="A19" s="139" t="str">
        <f>'t1'!A19</f>
        <v>POSIZ. ECON. D5 PROFILI ACCESSO D1</v>
      </c>
      <c r="B19" s="318" t="str">
        <f>'t1'!B19</f>
        <v>052487</v>
      </c>
      <c r="C19" s="337">
        <f>'t13'!W19</f>
        <v>0</v>
      </c>
      <c r="D19" s="338">
        <f>('t3'!M19+'t3'!N19+'t3'!O19+'t3'!P19+'t3'!Q19+'t3'!R19)+('t12'!C19/12)</f>
        <v>0</v>
      </c>
      <c r="E19" s="358" t="str">
        <f t="shared" si="0"/>
        <v>OK</v>
      </c>
    </row>
    <row r="20" spans="1:5" ht="13.2">
      <c r="A20" s="139" t="str">
        <f>'t1'!A20</f>
        <v>POSIZ. ECON. D4 PROFILI ACCESSO D3</v>
      </c>
      <c r="B20" s="318" t="str">
        <f>'t1'!B20</f>
        <v>051488</v>
      </c>
      <c r="C20" s="337">
        <f>'t13'!W20</f>
        <v>0</v>
      </c>
      <c r="D20" s="338">
        <f>('t3'!M20+'t3'!N20+'t3'!O20+'t3'!P20+'t3'!Q20+'t3'!R20)+('t12'!C20/12)</f>
        <v>0</v>
      </c>
      <c r="E20" s="358" t="str">
        <f t="shared" si="0"/>
        <v>OK</v>
      </c>
    </row>
    <row r="21" spans="1:5" ht="13.2">
      <c r="A21" s="139" t="str">
        <f>'t1'!A21</f>
        <v>POSIZ. ECON. D4 PROFILI ACCESSO D1</v>
      </c>
      <c r="B21" s="318" t="str">
        <f>'t1'!B21</f>
        <v>051489</v>
      </c>
      <c r="C21" s="337">
        <f>'t13'!W21</f>
        <v>0</v>
      </c>
      <c r="D21" s="338">
        <f>('t3'!M21+'t3'!N21+'t3'!O21+'t3'!P21+'t3'!Q21+'t3'!R21)+('t12'!C21/12)</f>
        <v>0</v>
      </c>
      <c r="E21" s="358" t="str">
        <f t="shared" si="0"/>
        <v>OK</v>
      </c>
    </row>
    <row r="22" spans="1:5" ht="13.2">
      <c r="A22" s="139" t="str">
        <f>'t1'!A22</f>
        <v>POSIZIONE ECONOMICA DI ACCESSO D3</v>
      </c>
      <c r="B22" s="318" t="str">
        <f>'t1'!B22</f>
        <v>058000</v>
      </c>
      <c r="C22" s="337">
        <f>'t13'!W22</f>
        <v>0</v>
      </c>
      <c r="D22" s="338">
        <f>('t3'!M22+'t3'!N22+'t3'!O22+'t3'!P22+'t3'!Q22+'t3'!R22)+('t12'!C22/12)</f>
        <v>0</v>
      </c>
      <c r="E22" s="358" t="str">
        <f t="shared" si="0"/>
        <v>OK</v>
      </c>
    </row>
    <row r="23" spans="1:5" ht="13.2">
      <c r="A23" s="139" t="str">
        <f>'t1'!A23</f>
        <v>POSIZIONE ECONOMICA D3</v>
      </c>
      <c r="B23" s="318" t="str">
        <f>'t1'!B23</f>
        <v>050000</v>
      </c>
      <c r="C23" s="337">
        <f>'t13'!W23</f>
        <v>0</v>
      </c>
      <c r="D23" s="338">
        <f>('t3'!M23+'t3'!N23+'t3'!O23+'t3'!P23+'t3'!Q23+'t3'!R23)+('t12'!C23/12)</f>
        <v>0</v>
      </c>
      <c r="E23" s="358" t="str">
        <f t="shared" si="0"/>
        <v>OK</v>
      </c>
    </row>
    <row r="24" spans="1:5" ht="13.2">
      <c r="A24" s="139" t="str">
        <f>'t1'!A24</f>
        <v>POSIZIONE ECONOMICA D2</v>
      </c>
      <c r="B24" s="318" t="str">
        <f>'t1'!B24</f>
        <v>049000</v>
      </c>
      <c r="C24" s="337">
        <f>'t13'!W24</f>
        <v>6956</v>
      </c>
      <c r="D24" s="338">
        <f>('t3'!M24+'t3'!N24+'t3'!O24+'t3'!P24+'t3'!Q24+'t3'!R24)+('t12'!C24/12)</f>
        <v>0.6</v>
      </c>
      <c r="E24" s="358" t="str">
        <f t="shared" si="0"/>
        <v>OK</v>
      </c>
    </row>
    <row r="25" spans="1:5" ht="13.2">
      <c r="A25" s="139" t="str">
        <f>'t1'!A25</f>
        <v>POSIZIONE ECONOMICA DI ACCESSO D1</v>
      </c>
      <c r="B25" s="318" t="str">
        <f>'t1'!B25</f>
        <v>057000</v>
      </c>
      <c r="C25" s="337">
        <f>'t13'!W25</f>
        <v>60</v>
      </c>
      <c r="D25" s="338">
        <f>('t3'!M25+'t3'!N25+'t3'!O25+'t3'!P25+'t3'!Q25+'t3'!R25)+('t12'!C25/12)</f>
        <v>0.08</v>
      </c>
      <c r="E25" s="358" t="str">
        <f t="shared" si="0"/>
        <v>OK</v>
      </c>
    </row>
    <row r="26" spans="1:5" ht="13.2">
      <c r="A26" s="139" t="str">
        <f>'t1'!A26</f>
        <v>POSIZIONE ECONOMICA C5</v>
      </c>
      <c r="B26" s="318" t="str">
        <f>'t1'!B26</f>
        <v>046000</v>
      </c>
      <c r="C26" s="337">
        <f>'t13'!W26</f>
        <v>0</v>
      </c>
      <c r="D26" s="338">
        <f>('t3'!M26+'t3'!N26+'t3'!O26+'t3'!P26+'t3'!Q26+'t3'!R26)+('t12'!C26/12)</f>
        <v>0</v>
      </c>
      <c r="E26" s="358" t="str">
        <f t="shared" si="0"/>
        <v>OK</v>
      </c>
    </row>
    <row r="27" spans="1:5" ht="13.2">
      <c r="A27" s="139" t="str">
        <f>'t1'!A27</f>
        <v>POSIZIONE ECONOMICA C4</v>
      </c>
      <c r="B27" s="318" t="str">
        <f>'t1'!B27</f>
        <v>045000</v>
      </c>
      <c r="C27" s="337">
        <f>'t13'!W27</f>
        <v>0</v>
      </c>
      <c r="D27" s="338">
        <f>('t3'!M27+'t3'!N27+'t3'!O27+'t3'!P27+'t3'!Q27+'t3'!R27)+('t12'!C27/12)</f>
        <v>0</v>
      </c>
      <c r="E27" s="358" t="str">
        <f t="shared" si="0"/>
        <v>OK</v>
      </c>
    </row>
    <row r="28" spans="1:5" ht="13.2">
      <c r="A28" s="139" t="str">
        <f>'t1'!A28</f>
        <v>POSIZIONE ECONOMICA C3</v>
      </c>
      <c r="B28" s="318" t="str">
        <f>'t1'!B28</f>
        <v>043000</v>
      </c>
      <c r="C28" s="337">
        <f>'t13'!W28</f>
        <v>0</v>
      </c>
      <c r="D28" s="338">
        <f>('t3'!M28+'t3'!N28+'t3'!O28+'t3'!P28+'t3'!Q28+'t3'!R28)+('t12'!C28/12)</f>
        <v>0</v>
      </c>
      <c r="E28" s="358" t="str">
        <f t="shared" si="0"/>
        <v>OK</v>
      </c>
    </row>
    <row r="29" spans="1:5" ht="13.2">
      <c r="A29" s="139" t="str">
        <f>'t1'!A29</f>
        <v>POSIZIONE ECONOMICA C2</v>
      </c>
      <c r="B29" s="318" t="str">
        <f>'t1'!B29</f>
        <v>042000</v>
      </c>
      <c r="C29" s="337">
        <f>'t13'!W29</f>
        <v>2017</v>
      </c>
      <c r="D29" s="338">
        <f>('t3'!M29+'t3'!N29+'t3'!O29+'t3'!P29+'t3'!Q29+'t3'!R29)+('t12'!C29/12)</f>
        <v>1</v>
      </c>
      <c r="E29" s="358" t="str">
        <f t="shared" si="0"/>
        <v>OK</v>
      </c>
    </row>
    <row r="30" spans="1:5" ht="13.2">
      <c r="A30" s="139" t="str">
        <f>'t1'!A30</f>
        <v>POSIZIONE ECONOMICA DI ACCESSO C1</v>
      </c>
      <c r="B30" s="318" t="str">
        <f>'t1'!B30</f>
        <v>056000</v>
      </c>
      <c r="C30" s="337">
        <f>'t13'!W30</f>
        <v>1139</v>
      </c>
      <c r="D30" s="338">
        <f>('t3'!M30+'t3'!N30+'t3'!O30+'t3'!P30+'t3'!Q30+'t3'!R30)+('t12'!C30/12)</f>
        <v>1.3</v>
      </c>
      <c r="E30" s="358" t="str">
        <f t="shared" si="0"/>
        <v>OK</v>
      </c>
    </row>
    <row r="31" spans="1:5" ht="13.2">
      <c r="A31" s="139" t="str">
        <f>'t1'!A31</f>
        <v>POSIZ. ECON. B7 - PROFILO ACCESSO B3</v>
      </c>
      <c r="B31" s="318" t="str">
        <f>'t1'!B31</f>
        <v>0B7A00</v>
      </c>
      <c r="C31" s="337">
        <f>'t13'!W31</f>
        <v>0</v>
      </c>
      <c r="D31" s="338">
        <f>('t3'!M31+'t3'!N31+'t3'!O31+'t3'!P31+'t3'!Q31+'t3'!R31)+('t12'!C31/12)</f>
        <v>0</v>
      </c>
      <c r="E31" s="358" t="str">
        <f t="shared" si="0"/>
        <v>OK</v>
      </c>
    </row>
    <row r="32" spans="1:5" ht="13.2">
      <c r="A32" s="139" t="str">
        <f>'t1'!A32</f>
        <v>POSIZ. ECON. B7 - PROFILO  ACCESSO B1</v>
      </c>
      <c r="B32" s="318" t="str">
        <f>'t1'!B32</f>
        <v>0B7000</v>
      </c>
      <c r="C32" s="337">
        <f>'t13'!W32</f>
        <v>0</v>
      </c>
      <c r="D32" s="338">
        <f>('t3'!M32+'t3'!N32+'t3'!O32+'t3'!P32+'t3'!Q32+'t3'!R32)+('t12'!C32/12)</f>
        <v>0</v>
      </c>
      <c r="E32" s="358" t="str">
        <f t="shared" si="0"/>
        <v>OK</v>
      </c>
    </row>
    <row r="33" spans="1:5" ht="13.2">
      <c r="A33" s="139" t="str">
        <f>'t1'!A33</f>
        <v>POSIZ. ECON. B6 PROFILI ACCESSO B3</v>
      </c>
      <c r="B33" s="318" t="str">
        <f>'t1'!B33</f>
        <v>038490</v>
      </c>
      <c r="C33" s="337">
        <f>'t13'!W33</f>
        <v>0</v>
      </c>
      <c r="D33" s="338">
        <f>('t3'!M33+'t3'!N33+'t3'!O33+'t3'!P33+'t3'!Q33+'t3'!R33)+('t12'!C33/12)</f>
        <v>0</v>
      </c>
      <c r="E33" s="358" t="str">
        <f t="shared" si="0"/>
        <v>OK</v>
      </c>
    </row>
    <row r="34" spans="1:5" ht="13.2">
      <c r="A34" s="139" t="str">
        <f>'t1'!A34</f>
        <v>POSIZ. ECON. B6 PROFILI ACCESSO B1</v>
      </c>
      <c r="B34" s="318" t="str">
        <f>'t1'!B34</f>
        <v>038491</v>
      </c>
      <c r="C34" s="337">
        <f>'t13'!W34</f>
        <v>0</v>
      </c>
      <c r="D34" s="338">
        <f>('t3'!M34+'t3'!N34+'t3'!O34+'t3'!P34+'t3'!Q34+'t3'!R34)+('t12'!C34/12)</f>
        <v>0</v>
      </c>
      <c r="E34" s="358" t="str">
        <f t="shared" si="0"/>
        <v>OK</v>
      </c>
    </row>
    <row r="35" spans="1:5" ht="13.2">
      <c r="A35" s="139" t="str">
        <f>'t1'!A35</f>
        <v>POSIZ. ECON. B5 PROFILI ACCESSO B3</v>
      </c>
      <c r="B35" s="318" t="str">
        <f>'t1'!B35</f>
        <v>037492</v>
      </c>
      <c r="C35" s="337">
        <f>'t13'!W35</f>
        <v>0</v>
      </c>
      <c r="D35" s="338">
        <f>('t3'!M35+'t3'!N35+'t3'!O35+'t3'!P35+'t3'!Q35+'t3'!R35)+('t12'!C35/12)</f>
        <v>0</v>
      </c>
      <c r="E35" s="358" t="str">
        <f t="shared" si="0"/>
        <v>OK</v>
      </c>
    </row>
    <row r="36" spans="1:5" ht="13.2">
      <c r="A36" s="139" t="str">
        <f>'t1'!A36</f>
        <v>POSIZ. ECON. B5 PROFILI ACCESSO B1</v>
      </c>
      <c r="B36" s="318" t="str">
        <f>'t1'!B36</f>
        <v>037493</v>
      </c>
      <c r="C36" s="337">
        <f>'t13'!W36</f>
        <v>0</v>
      </c>
      <c r="D36" s="338">
        <f>('t3'!M36+'t3'!N36+'t3'!O36+'t3'!P36+'t3'!Q36+'t3'!R36)+('t12'!C36/12)</f>
        <v>0</v>
      </c>
      <c r="E36" s="358" t="str">
        <f t="shared" si="0"/>
        <v>OK</v>
      </c>
    </row>
    <row r="37" spans="1:5" ht="13.2">
      <c r="A37" s="139" t="str">
        <f>'t1'!A37</f>
        <v>POSIZ. ECON. B4 PROFILI ACCESSO B3</v>
      </c>
      <c r="B37" s="318" t="str">
        <f>'t1'!B37</f>
        <v>036494</v>
      </c>
      <c r="C37" s="337">
        <f>'t13'!W37</f>
        <v>0</v>
      </c>
      <c r="D37" s="338">
        <f>('t3'!M37+'t3'!N37+'t3'!O37+'t3'!P37+'t3'!Q37+'t3'!R37)+('t12'!C37/12)</f>
        <v>0</v>
      </c>
      <c r="E37" s="358" t="str">
        <f t="shared" si="0"/>
        <v>OK</v>
      </c>
    </row>
    <row r="38" spans="1:5" ht="13.2">
      <c r="A38" s="139" t="str">
        <f>'t1'!A38</f>
        <v>POSIZ. ECON. B4 PROFILI ACCESSO B1</v>
      </c>
      <c r="B38" s="318" t="str">
        <f>'t1'!B38</f>
        <v>036495</v>
      </c>
      <c r="C38" s="337">
        <f>'t13'!W38</f>
        <v>0</v>
      </c>
      <c r="D38" s="338">
        <f>('t3'!M38+'t3'!N38+'t3'!O38+'t3'!P38+'t3'!Q38+'t3'!R38)+('t12'!C38/12)</f>
        <v>0</v>
      </c>
      <c r="E38" s="358" t="str">
        <f t="shared" si="0"/>
        <v>OK</v>
      </c>
    </row>
    <row r="39" spans="1:5" ht="13.2">
      <c r="A39" s="139" t="str">
        <f>'t1'!A39</f>
        <v>POSIZIONE ECONOMICA DI ACCESSO B3</v>
      </c>
      <c r="B39" s="318" t="str">
        <f>'t1'!B39</f>
        <v>055000</v>
      </c>
      <c r="C39" s="337">
        <f>'t13'!W39</f>
        <v>0</v>
      </c>
      <c r="D39" s="338">
        <f>('t3'!M39+'t3'!N39+'t3'!O39+'t3'!P39+'t3'!Q39+'t3'!R39)+('t12'!C39/12)</f>
        <v>0</v>
      </c>
      <c r="E39" s="358" t="str">
        <f t="shared" si="0"/>
        <v>OK</v>
      </c>
    </row>
    <row r="40" spans="1:5" ht="13.2">
      <c r="A40" s="139" t="str">
        <f>'t1'!A40</f>
        <v>POSIZIONE ECONOMICA B3</v>
      </c>
      <c r="B40" s="318" t="str">
        <f>'t1'!B40</f>
        <v>034000</v>
      </c>
      <c r="C40" s="337">
        <f>'t13'!W40</f>
        <v>0</v>
      </c>
      <c r="D40" s="338">
        <f>('t3'!M40+'t3'!N40+'t3'!O40+'t3'!P40+'t3'!Q40+'t3'!R40)+('t12'!C40/12)</f>
        <v>0</v>
      </c>
      <c r="E40" s="358" t="str">
        <f t="shared" si="0"/>
        <v>OK</v>
      </c>
    </row>
    <row r="41" spans="1:5" ht="13.2">
      <c r="A41" s="139" t="str">
        <f>'t1'!A41</f>
        <v>POSIZIONE ECONOMICA B2</v>
      </c>
      <c r="B41" s="318" t="str">
        <f>'t1'!B41</f>
        <v>032000</v>
      </c>
      <c r="C41" s="337">
        <f>'t13'!W41</f>
        <v>0</v>
      </c>
      <c r="D41" s="338">
        <f>('t3'!M41+'t3'!N41+'t3'!O41+'t3'!P41+'t3'!Q41+'t3'!R41)+('t12'!C41/12)</f>
        <v>0</v>
      </c>
      <c r="E41" s="358" t="str">
        <f t="shared" si="0"/>
        <v>OK</v>
      </c>
    </row>
    <row r="42" spans="1:5" ht="13.2">
      <c r="A42" s="139" t="str">
        <f>'t1'!A42</f>
        <v>POSIZIONE ECONOMICA DI ACCESSO B1</v>
      </c>
      <c r="B42" s="318" t="str">
        <f>'t1'!B42</f>
        <v>054000</v>
      </c>
      <c r="C42" s="337">
        <f>'t13'!W42</f>
        <v>0</v>
      </c>
      <c r="D42" s="338">
        <f>('t3'!M42+'t3'!N42+'t3'!O42+'t3'!P42+'t3'!Q42+'t3'!R42)+('t12'!C42/12)</f>
        <v>0</v>
      </c>
      <c r="E42" s="358" t="str">
        <f t="shared" si="0"/>
        <v>OK</v>
      </c>
    </row>
    <row r="43" spans="1:5" ht="13.2">
      <c r="A43" s="139" t="str">
        <f>'t1'!A43</f>
        <v>POSIZIONE ECONOMICA A5</v>
      </c>
      <c r="B43" s="318" t="str">
        <f>'t1'!B43</f>
        <v>0A5000</v>
      </c>
      <c r="C43" s="337">
        <f>'t13'!W43</f>
        <v>0</v>
      </c>
      <c r="D43" s="338">
        <f>('t3'!M43+'t3'!N43+'t3'!O43+'t3'!P43+'t3'!Q43+'t3'!R43)+('t12'!C43/12)</f>
        <v>0</v>
      </c>
      <c r="E43" s="358" t="str">
        <f t="shared" si="0"/>
        <v>OK</v>
      </c>
    </row>
    <row r="44" spans="1:5" ht="13.2">
      <c r="A44" s="139" t="str">
        <f>'t1'!A44</f>
        <v>POSIZIONE ECONOMICA A4</v>
      </c>
      <c r="B44" s="318" t="str">
        <f>'t1'!B44</f>
        <v>028000</v>
      </c>
      <c r="C44" s="337">
        <f>'t13'!W44</f>
        <v>0</v>
      </c>
      <c r="D44" s="338">
        <f>('t3'!M44+'t3'!N44+'t3'!O44+'t3'!P44+'t3'!Q44+'t3'!R44)+('t12'!C44/12)</f>
        <v>0</v>
      </c>
      <c r="E44" s="358" t="str">
        <f t="shared" si="0"/>
        <v>OK</v>
      </c>
    </row>
    <row r="45" spans="1:5" ht="13.2">
      <c r="A45" s="139" t="str">
        <f>'t1'!A45</f>
        <v>POSIZIONE ECONOMICA A3</v>
      </c>
      <c r="B45" s="318" t="str">
        <f>'t1'!B45</f>
        <v>027000</v>
      </c>
      <c r="C45" s="337">
        <f>'t13'!W45</f>
        <v>0</v>
      </c>
      <c r="D45" s="338">
        <f>('t3'!M45+'t3'!N45+'t3'!O45+'t3'!P45+'t3'!Q45+'t3'!R45)+('t12'!C45/12)</f>
        <v>0</v>
      </c>
      <c r="E45" s="358" t="str">
        <f t="shared" si="0"/>
        <v>OK</v>
      </c>
    </row>
    <row r="46" spans="1:5" ht="13.2">
      <c r="A46" s="139" t="str">
        <f>'t1'!A46</f>
        <v>POSIZIONE ECONOMICA A2</v>
      </c>
      <c r="B46" s="318" t="str">
        <f>'t1'!B46</f>
        <v>025000</v>
      </c>
      <c r="C46" s="337">
        <f>'t13'!W46</f>
        <v>0</v>
      </c>
      <c r="D46" s="338">
        <f>('t3'!M46+'t3'!N46+'t3'!O46+'t3'!P46+'t3'!Q46+'t3'!R46)+('t12'!C46/12)</f>
        <v>0</v>
      </c>
      <c r="E46" s="358" t="str">
        <f t="shared" si="0"/>
        <v>OK</v>
      </c>
    </row>
    <row r="47" spans="1:5" ht="13.2">
      <c r="A47" s="139" t="str">
        <f>'t1'!A47</f>
        <v>POSIZIONE ECONOMICA DI ACCESSO A1</v>
      </c>
      <c r="B47" s="318" t="str">
        <f>'t1'!B47</f>
        <v>053000</v>
      </c>
      <c r="C47" s="337">
        <f>'t13'!W47</f>
        <v>0</v>
      </c>
      <c r="D47" s="338">
        <f>('t3'!M47+'t3'!N47+'t3'!O47+'t3'!P47+'t3'!Q47+'t3'!R47)+('t12'!C47/12)</f>
        <v>0</v>
      </c>
      <c r="E47" s="358" t="str">
        <f t="shared" si="0"/>
        <v>OK</v>
      </c>
    </row>
    <row r="48" spans="1:5" ht="13.2">
      <c r="A48" s="139" t="str">
        <f>'t1'!A48</f>
        <v>CONTRATTISTI (a)</v>
      </c>
      <c r="B48" s="318" t="str">
        <f>'t1'!B48</f>
        <v>000061</v>
      </c>
      <c r="C48" s="337">
        <f>'t13'!W48</f>
        <v>0</v>
      </c>
      <c r="D48" s="338">
        <f>('t3'!M48+'t3'!N48+'t3'!O48+'t3'!P48+'t3'!Q48+'t3'!R48)+('t12'!C48/12)</f>
        <v>0</v>
      </c>
      <c r="E48" s="358" t="str">
        <f>IF(OR((NOT(C48)),(AND(C48&gt;=0,D48&gt;0))),"OK","ERRORE")</f>
        <v>OK</v>
      </c>
    </row>
    <row r="49" spans="1:5" ht="13.2">
      <c r="A49" s="139" t="str">
        <f>'t1'!A49</f>
        <v>COLLABORATORE A T.D. ART. 90 TUEL (b)</v>
      </c>
      <c r="B49" s="318" t="str">
        <f>'t1'!B49</f>
        <v>000096</v>
      </c>
      <c r="C49" s="337">
        <f>'t13'!W49</f>
        <v>0</v>
      </c>
      <c r="D49" s="338">
        <f>('t3'!M49+'t3'!N49+'t3'!O49+'t3'!P49+'t3'!Q49+'t3'!R49)+('t12'!C49/12)</f>
        <v>0</v>
      </c>
      <c r="E49" s="358" t="str">
        <f t="shared" si="0"/>
        <v>OK</v>
      </c>
    </row>
  </sheetData>
  <sheetProtection password="EA98" sheet="1" formatColumns="0" selectLockedCells="1" selectUnlockedCells="1"/>
  <mergeCells count="2">
    <mergeCell ref="A1:E1"/>
    <mergeCell ref="C2:E2"/>
  </mergeCells>
  <phoneticPr fontId="30" type="noConversion"/>
  <printOptions horizontalCentered="1" verticalCentered="1"/>
  <pageMargins left="0.19685039370078741" right="0.19685039370078741" top="0.19685039370078741" bottom="0.15748031496062992" header="0.15748031496062992" footer="0.15748031496062992"/>
  <pageSetup paperSize="9" scale="80" orientation="landscape" horizontalDpi="0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28">
    <pageSetUpPr fitToPage="1"/>
  </sheetPr>
  <dimension ref="A1:W49"/>
  <sheetViews>
    <sheetView showGridLines="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RowHeight="10.199999999999999"/>
  <cols>
    <col min="1" max="1" width="38.85546875" style="5" customWidth="1"/>
    <col min="2" max="2" width="10" style="7" customWidth="1"/>
    <col min="3" max="8" width="11.85546875" style="7" customWidth="1"/>
    <col min="9" max="9" width="13.85546875" style="7" customWidth="1"/>
    <col min="10" max="11" width="16.85546875" style="7" customWidth="1"/>
    <col min="12" max="12" width="58.85546875" customWidth="1"/>
  </cols>
  <sheetData>
    <row r="1" spans="1:23" s="5" customFormat="1" ht="43.5" customHeight="1" thickBot="1">
      <c r="A1" s="1584" t="str">
        <f>'t1'!A1</f>
        <v>COMPARTO REGIONI ED AUTONOMIE LOCALI - anno 2017</v>
      </c>
      <c r="B1" s="1585"/>
      <c r="C1" s="1585"/>
      <c r="D1" s="1585"/>
      <c r="E1" s="1585"/>
      <c r="F1" s="1585"/>
      <c r="G1" s="1585"/>
      <c r="H1" s="1585"/>
      <c r="I1" s="1585"/>
      <c r="J1" s="1585"/>
      <c r="K1" s="1585"/>
      <c r="L1" s="1586"/>
      <c r="M1" s="314"/>
      <c r="W1"/>
    </row>
    <row r="2" spans="1:23" s="5" customFormat="1" ht="12.75" customHeight="1">
      <c r="D2" s="1524"/>
      <c r="E2" s="1524"/>
      <c r="F2" s="1524"/>
      <c r="G2" s="1524"/>
      <c r="H2" s="1524"/>
      <c r="I2" s="1524"/>
      <c r="J2" s="1524"/>
      <c r="K2" s="1524"/>
      <c r="L2" s="3"/>
      <c r="W2"/>
    </row>
    <row r="3" spans="1:23" s="5" customFormat="1" ht="29.25" customHeight="1">
      <c r="A3" s="196" t="s">
        <v>874</v>
      </c>
      <c r="B3" s="7"/>
      <c r="C3" s="7"/>
    </row>
    <row r="4" spans="1:23" ht="40.799999999999997">
      <c r="A4" s="181" t="s">
        <v>270</v>
      </c>
      <c r="B4" s="183" t="s">
        <v>232</v>
      </c>
      <c r="C4" s="182" t="s">
        <v>68</v>
      </c>
      <c r="D4" s="182" t="s">
        <v>69</v>
      </c>
      <c r="E4" s="182" t="s">
        <v>70</v>
      </c>
      <c r="F4" s="182" t="s">
        <v>71</v>
      </c>
      <c r="G4" s="182" t="s">
        <v>72</v>
      </c>
      <c r="H4" s="182" t="s">
        <v>73</v>
      </c>
      <c r="I4" s="182" t="s">
        <v>74</v>
      </c>
      <c r="J4" s="182" t="s">
        <v>75</v>
      </c>
      <c r="K4" s="182" t="s">
        <v>76</v>
      </c>
      <c r="L4" s="646" t="s">
        <v>693</v>
      </c>
    </row>
    <row r="5" spans="1:23" s="200" customFormat="1" ht="51">
      <c r="A5" s="180"/>
      <c r="B5" s="194"/>
      <c r="C5" s="194" t="s">
        <v>234</v>
      </c>
      <c r="D5" s="198" t="s">
        <v>235</v>
      </c>
      <c r="E5" s="198" t="s">
        <v>236</v>
      </c>
      <c r="F5" s="198" t="s">
        <v>237</v>
      </c>
      <c r="G5" s="198" t="s">
        <v>238</v>
      </c>
      <c r="H5" s="198" t="s">
        <v>258</v>
      </c>
      <c r="I5" s="198"/>
      <c r="J5" s="703" t="s">
        <v>719</v>
      </c>
      <c r="K5" s="703" t="s">
        <v>822</v>
      </c>
      <c r="L5" s="705"/>
    </row>
    <row r="6" spans="1:23" s="993" customFormat="1" ht="13.2">
      <c r="A6" s="139" t="str">
        <f>'t1'!A6</f>
        <v>SEGRETARIO A</v>
      </c>
      <c r="B6" s="318" t="str">
        <f>'t1'!B6</f>
        <v>0D0102</v>
      </c>
      <c r="C6" s="994">
        <f>'t11'!U8+'t11'!V8</f>
        <v>0</v>
      </c>
      <c r="D6" s="994">
        <f>'t1'!L6+'t1'!M6</f>
        <v>0</v>
      </c>
      <c r="E6" s="994">
        <f>'t3'!M6+'t3'!N6+'t3'!O6+'t3'!P6+'t3'!Q6+'t3'!R6</f>
        <v>0</v>
      </c>
      <c r="F6" s="994">
        <f>'t4'!AU6</f>
        <v>0</v>
      </c>
      <c r="G6" s="335">
        <f>'t4'!C50</f>
        <v>0</v>
      </c>
      <c r="H6" s="994">
        <f>'t5'!S7+'t5'!T7</f>
        <v>0</v>
      </c>
      <c r="I6" s="358" t="str">
        <f t="shared" ref="I6:I49" si="0">IF(AND(J6="OK",K6="OK"),"OK","ERRORE")</f>
        <v>OK</v>
      </c>
      <c r="J6" s="358" t="str">
        <f t="shared" ref="J6:J49" si="1">IF(AND(C6&gt;0,D6=0,E6=0,F6=0,G6=0,H6=0),"KO","OK")</f>
        <v>OK</v>
      </c>
      <c r="K6" s="358" t="str">
        <f t="shared" ref="K6:K49" si="2">IF(AND(C6=0,OR(D6&gt;0,E6&gt;0,F6&gt;0,G6&gt;0,H6&gt;0)),"KO","OK")</f>
        <v>OK</v>
      </c>
      <c r="L6" s="706" t="str">
        <f>IF(K6="KO",$K$5,IF(J6="KO",$J$5,""))</f>
        <v/>
      </c>
    </row>
    <row r="7" spans="1:23" ht="13.2">
      <c r="A7" s="139" t="str">
        <f>'t1'!A7</f>
        <v>SEGRETARIO B</v>
      </c>
      <c r="B7" s="318" t="str">
        <f>'t1'!B7</f>
        <v>0D0103</v>
      </c>
      <c r="C7" s="337">
        <f>'t11'!U9+'t11'!V9</f>
        <v>0</v>
      </c>
      <c r="D7" s="337">
        <f>'t1'!L7+'t1'!M7</f>
        <v>0</v>
      </c>
      <c r="E7" s="337">
        <f>'t3'!M7+'t3'!N7+'t3'!O7+'t3'!P7+'t3'!Q7+'t3'!R7</f>
        <v>0</v>
      </c>
      <c r="F7" s="337">
        <f>'t4'!AU7</f>
        <v>0</v>
      </c>
      <c r="G7" s="335">
        <f>'t4'!D50</f>
        <v>0</v>
      </c>
      <c r="H7" s="337">
        <f>'t5'!S8+'t5'!T8</f>
        <v>0</v>
      </c>
      <c r="I7" s="358" t="str">
        <f t="shared" si="0"/>
        <v>OK</v>
      </c>
      <c r="J7" s="358" t="str">
        <f t="shared" si="1"/>
        <v>OK</v>
      </c>
      <c r="K7" s="358" t="str">
        <f t="shared" si="2"/>
        <v>OK</v>
      </c>
      <c r="L7" s="706" t="str">
        <f t="shared" ref="L7:L49" si="3">IF(K7="KO",$K$5,IF(J7="KO",$J$5,""))</f>
        <v/>
      </c>
    </row>
    <row r="8" spans="1:23" ht="13.2">
      <c r="A8" s="139" t="str">
        <f>'t1'!A8</f>
        <v>SEGRETARIO C</v>
      </c>
      <c r="B8" s="318" t="str">
        <f>'t1'!B8</f>
        <v>0D0485</v>
      </c>
      <c r="C8" s="337">
        <f>'t11'!U10+'t11'!V10</f>
        <v>0</v>
      </c>
      <c r="D8" s="337">
        <f>'t1'!L8+'t1'!M8</f>
        <v>0</v>
      </c>
      <c r="E8" s="337">
        <f>'t3'!M8+'t3'!N8+'t3'!O8+'t3'!P8+'t3'!Q8+'t3'!R8</f>
        <v>0</v>
      </c>
      <c r="F8" s="337">
        <f>'t4'!AU8</f>
        <v>0</v>
      </c>
      <c r="G8" s="335">
        <f>'t4'!E50</f>
        <v>0</v>
      </c>
      <c r="H8" s="337">
        <f>'t5'!S9+'t5'!T9</f>
        <v>0</v>
      </c>
      <c r="I8" s="358" t="str">
        <f t="shared" si="0"/>
        <v>OK</v>
      </c>
      <c r="J8" s="358" t="str">
        <f t="shared" si="1"/>
        <v>OK</v>
      </c>
      <c r="K8" s="358" t="str">
        <f t="shared" si="2"/>
        <v>OK</v>
      </c>
      <c r="L8" s="706" t="str">
        <f t="shared" si="3"/>
        <v/>
      </c>
    </row>
    <row r="9" spans="1:23" ht="13.2">
      <c r="A9" s="139" t="str">
        <f>'t1'!A9</f>
        <v>SEGRETARIO GENERALE CCIAA</v>
      </c>
      <c r="B9" s="318" t="str">
        <f>'t1'!B9</f>
        <v>0D0104</v>
      </c>
      <c r="C9" s="337">
        <f>'t11'!U11+'t11'!V11</f>
        <v>0</v>
      </c>
      <c r="D9" s="337">
        <f>'t1'!L9+'t1'!M9</f>
        <v>0</v>
      </c>
      <c r="E9" s="337">
        <f>'t3'!M9+'t3'!N9+'t3'!O9+'t3'!P9+'t3'!Q9+'t3'!R9</f>
        <v>0</v>
      </c>
      <c r="F9" s="337">
        <f>'t4'!AU9</f>
        <v>0</v>
      </c>
      <c r="G9" s="335">
        <f>'t4'!F50</f>
        <v>0</v>
      </c>
      <c r="H9" s="337">
        <f>'t5'!S10+'t5'!T10</f>
        <v>0</v>
      </c>
      <c r="I9" s="358" t="str">
        <f t="shared" si="0"/>
        <v>OK</v>
      </c>
      <c r="J9" s="358" t="str">
        <f t="shared" si="1"/>
        <v>OK</v>
      </c>
      <c r="K9" s="358" t="str">
        <f t="shared" si="2"/>
        <v>OK</v>
      </c>
      <c r="L9" s="706" t="str">
        <f t="shared" si="3"/>
        <v/>
      </c>
    </row>
    <row r="10" spans="1:23" ht="13.2">
      <c r="A10" s="139" t="str">
        <f>'t1'!A10</f>
        <v>DIRETTORE  GENERALE</v>
      </c>
      <c r="B10" s="318" t="str">
        <f>'t1'!B10</f>
        <v>0D0097</v>
      </c>
      <c r="C10" s="337">
        <f>'t11'!U12+'t11'!V12</f>
        <v>0</v>
      </c>
      <c r="D10" s="337">
        <f>'t1'!L10+'t1'!M10</f>
        <v>0</v>
      </c>
      <c r="E10" s="337">
        <f>'t3'!M10+'t3'!N10+'t3'!O10+'t3'!P10+'t3'!Q10+'t3'!R10</f>
        <v>0</v>
      </c>
      <c r="F10" s="337">
        <f>'t4'!AU10</f>
        <v>0</v>
      </c>
      <c r="G10" s="335">
        <f>'t4'!G50</f>
        <v>0</v>
      </c>
      <c r="H10" s="337">
        <f>'t5'!S11+'t5'!T11</f>
        <v>0</v>
      </c>
      <c r="I10" s="358" t="str">
        <f t="shared" si="0"/>
        <v>OK</v>
      </c>
      <c r="J10" s="358" t="str">
        <f t="shared" si="1"/>
        <v>OK</v>
      </c>
      <c r="K10" s="358" t="str">
        <f t="shared" si="2"/>
        <v>OK</v>
      </c>
      <c r="L10" s="706" t="str">
        <f t="shared" si="3"/>
        <v/>
      </c>
    </row>
    <row r="11" spans="1:23" ht="13.2">
      <c r="A11" s="139" t="str">
        <f>'t1'!A11</f>
        <v>DIRIGENTE FUORI D.O. art.110 c.2 TUEL</v>
      </c>
      <c r="B11" s="318" t="str">
        <f>'t1'!B11</f>
        <v>0D0098</v>
      </c>
      <c r="C11" s="337">
        <f>'t11'!U13+'t11'!V13</f>
        <v>0</v>
      </c>
      <c r="D11" s="337">
        <f>'t1'!L11+'t1'!M11</f>
        <v>0</v>
      </c>
      <c r="E11" s="337">
        <f>'t3'!M11+'t3'!N11+'t3'!O11+'t3'!P11+'t3'!Q11+'t3'!R11</f>
        <v>0</v>
      </c>
      <c r="F11" s="337">
        <f>'t4'!AU11</f>
        <v>0</v>
      </c>
      <c r="G11" s="335">
        <f>'t4'!H50</f>
        <v>0</v>
      </c>
      <c r="H11" s="337">
        <f>'t5'!S12+'t5'!T12</f>
        <v>0</v>
      </c>
      <c r="I11" s="358" t="str">
        <f t="shared" si="0"/>
        <v>OK</v>
      </c>
      <c r="J11" s="358" t="str">
        <f t="shared" si="1"/>
        <v>OK</v>
      </c>
      <c r="K11" s="358" t="str">
        <f t="shared" si="2"/>
        <v>OK</v>
      </c>
      <c r="L11" s="706" t="str">
        <f t="shared" si="3"/>
        <v/>
      </c>
    </row>
    <row r="12" spans="1:23" ht="13.2">
      <c r="A12" s="139" t="str">
        <f>'t1'!A12</f>
        <v>ALTE SPECIALIZZ. FUORI D.O.art.110 c.2 TUEL</v>
      </c>
      <c r="B12" s="318" t="str">
        <f>'t1'!B12</f>
        <v>0D0095</v>
      </c>
      <c r="C12" s="337">
        <f>'t11'!U14+'t11'!V14</f>
        <v>0</v>
      </c>
      <c r="D12" s="337">
        <f>'t1'!L12+'t1'!M12</f>
        <v>0</v>
      </c>
      <c r="E12" s="337">
        <f>'t3'!M12+'t3'!N12+'t3'!O12+'t3'!P12+'t3'!Q12+'t3'!R12</f>
        <v>0</v>
      </c>
      <c r="F12" s="337">
        <f>'t4'!AU12</f>
        <v>0</v>
      </c>
      <c r="G12" s="335">
        <f>'t4'!I50</f>
        <v>0</v>
      </c>
      <c r="H12" s="337">
        <f>'t5'!S13+'t5'!T13</f>
        <v>0</v>
      </c>
      <c r="I12" s="358" t="str">
        <f t="shared" si="0"/>
        <v>OK</v>
      </c>
      <c r="J12" s="358" t="str">
        <f t="shared" si="1"/>
        <v>OK</v>
      </c>
      <c r="K12" s="358" t="str">
        <f t="shared" si="2"/>
        <v>OK</v>
      </c>
      <c r="L12" s="706" t="str">
        <f t="shared" si="3"/>
        <v/>
      </c>
    </row>
    <row r="13" spans="1:23" ht="13.2">
      <c r="A13" s="139" t="str">
        <f>'t1'!A13</f>
        <v>DIRIGENTE A TEMPO INDETERMINATO</v>
      </c>
      <c r="B13" s="318" t="str">
        <f>'t1'!B13</f>
        <v>0D0164</v>
      </c>
      <c r="C13" s="337">
        <f>'t11'!U15+'t11'!V15</f>
        <v>0</v>
      </c>
      <c r="D13" s="337">
        <f>'t1'!L13+'t1'!M13</f>
        <v>0</v>
      </c>
      <c r="E13" s="337">
        <f>'t3'!M13+'t3'!N13+'t3'!O13+'t3'!P13+'t3'!Q13+'t3'!R13</f>
        <v>0</v>
      </c>
      <c r="F13" s="337">
        <f>'t4'!AU13</f>
        <v>0</v>
      </c>
      <c r="G13" s="335">
        <f>'t4'!J50</f>
        <v>0</v>
      </c>
      <c r="H13" s="337">
        <f>'t5'!S14+'t5'!T14</f>
        <v>0</v>
      </c>
      <c r="I13" s="358" t="str">
        <f t="shared" si="0"/>
        <v>OK</v>
      </c>
      <c r="J13" s="358" t="str">
        <f t="shared" si="1"/>
        <v>OK</v>
      </c>
      <c r="K13" s="358" t="str">
        <f t="shared" si="2"/>
        <v>OK</v>
      </c>
      <c r="L13" s="706" t="str">
        <f t="shared" si="3"/>
        <v/>
      </c>
    </row>
    <row r="14" spans="1:23" ht="13.2">
      <c r="A14" s="139" t="str">
        <f>'t1'!A14</f>
        <v>DIRIGENTE A TEMPO DET.TO  ART.110 C.1 TUEL</v>
      </c>
      <c r="B14" s="318" t="str">
        <f>'t1'!B14</f>
        <v>0D0165</v>
      </c>
      <c r="C14" s="337">
        <f>'t11'!U16+'t11'!V16</f>
        <v>0</v>
      </c>
      <c r="D14" s="337">
        <f>'t1'!L14+'t1'!M14</f>
        <v>0</v>
      </c>
      <c r="E14" s="337">
        <f>'t3'!M14+'t3'!N14+'t3'!O14+'t3'!P14+'t3'!Q14+'t3'!R14</f>
        <v>0</v>
      </c>
      <c r="F14" s="337">
        <f>'t4'!AU14</f>
        <v>0</v>
      </c>
      <c r="G14" s="335">
        <f>'t4'!K50</f>
        <v>0</v>
      </c>
      <c r="H14" s="337">
        <f>'t5'!S15+'t5'!T15</f>
        <v>0</v>
      </c>
      <c r="I14" s="358" t="str">
        <f t="shared" si="0"/>
        <v>OK</v>
      </c>
      <c r="J14" s="358" t="str">
        <f t="shared" si="1"/>
        <v>OK</v>
      </c>
      <c r="K14" s="358" t="str">
        <f t="shared" si="2"/>
        <v>OK</v>
      </c>
      <c r="L14" s="706" t="str">
        <f t="shared" si="3"/>
        <v/>
      </c>
    </row>
    <row r="15" spans="1:23" ht="13.2">
      <c r="A15" s="139" t="str">
        <f>'t1'!A15</f>
        <v>ALTE SPECIALIZZ. IN D.O. art.110 c.1 TUEL</v>
      </c>
      <c r="B15" s="318" t="str">
        <f>'t1'!B15</f>
        <v>0D0I95</v>
      </c>
      <c r="C15" s="337">
        <f>'t11'!U17+'t11'!V17</f>
        <v>0</v>
      </c>
      <c r="D15" s="337">
        <f>'t1'!L15+'t1'!M15</f>
        <v>0</v>
      </c>
      <c r="E15" s="337">
        <f>'t3'!M15+'t3'!N15+'t3'!O15+'t3'!P15+'t3'!Q15+'t3'!R15</f>
        <v>0</v>
      </c>
      <c r="F15" s="337">
        <f>'t4'!AU15</f>
        <v>0</v>
      </c>
      <c r="G15" s="335">
        <f>'t4'!L50</f>
        <v>0</v>
      </c>
      <c r="H15" s="337">
        <f>'t5'!S16+'t5'!T16</f>
        <v>0</v>
      </c>
      <c r="I15" s="358" t="str">
        <f t="shared" si="0"/>
        <v>OK</v>
      </c>
      <c r="J15" s="358" t="str">
        <f t="shared" si="1"/>
        <v>OK</v>
      </c>
      <c r="K15" s="358" t="str">
        <f t="shared" si="2"/>
        <v>OK</v>
      </c>
      <c r="L15" s="706" t="str">
        <f t="shared" si="3"/>
        <v/>
      </c>
    </row>
    <row r="16" spans="1:23" ht="13.2">
      <c r="A16" s="139" t="str">
        <f>'t1'!A16</f>
        <v>POSIZ. ECON. D6 - PROFILI ACCESSO D3</v>
      </c>
      <c r="B16" s="318" t="str">
        <f>'t1'!B16</f>
        <v>0D6A00</v>
      </c>
      <c r="C16" s="337">
        <f>'t11'!U18+'t11'!V18</f>
        <v>0</v>
      </c>
      <c r="D16" s="337">
        <f>'t1'!L16+'t1'!M16</f>
        <v>0</v>
      </c>
      <c r="E16" s="337">
        <f>'t3'!M16+'t3'!N16+'t3'!O16+'t3'!P16+'t3'!Q16+'t3'!R16</f>
        <v>0</v>
      </c>
      <c r="F16" s="337">
        <f>'t4'!AU16</f>
        <v>0</v>
      </c>
      <c r="G16" s="335">
        <f>'t4'!M50</f>
        <v>0</v>
      </c>
      <c r="H16" s="337">
        <f>'t5'!S17+'t5'!T17</f>
        <v>0</v>
      </c>
      <c r="I16" s="358" t="str">
        <f t="shared" si="0"/>
        <v>OK</v>
      </c>
      <c r="J16" s="358" t="str">
        <f t="shared" si="1"/>
        <v>OK</v>
      </c>
      <c r="K16" s="358" t="str">
        <f t="shared" si="2"/>
        <v>OK</v>
      </c>
      <c r="L16" s="706" t="str">
        <f t="shared" si="3"/>
        <v/>
      </c>
    </row>
    <row r="17" spans="1:12" ht="13.2">
      <c r="A17" s="139" t="str">
        <f>'t1'!A17</f>
        <v>POSIZ. ECON. D6 - PROFILO ACCESSO D1</v>
      </c>
      <c r="B17" s="318" t="str">
        <f>'t1'!B17</f>
        <v>0D6000</v>
      </c>
      <c r="C17" s="337">
        <f>'t11'!U19+'t11'!V19</f>
        <v>0</v>
      </c>
      <c r="D17" s="337">
        <f>'t1'!L17+'t1'!M17</f>
        <v>0</v>
      </c>
      <c r="E17" s="337">
        <f>'t3'!M17+'t3'!N17+'t3'!O17+'t3'!P17+'t3'!Q17+'t3'!R17</f>
        <v>0</v>
      </c>
      <c r="F17" s="337">
        <f>'t4'!AU17</f>
        <v>0</v>
      </c>
      <c r="G17" s="335">
        <f>'t4'!N50</f>
        <v>0</v>
      </c>
      <c r="H17" s="337">
        <f>'t5'!S18+'t5'!T18</f>
        <v>0</v>
      </c>
      <c r="I17" s="358" t="str">
        <f t="shared" si="0"/>
        <v>OK</v>
      </c>
      <c r="J17" s="358" t="str">
        <f t="shared" si="1"/>
        <v>OK</v>
      </c>
      <c r="K17" s="358" t="str">
        <f t="shared" si="2"/>
        <v>OK</v>
      </c>
      <c r="L17" s="706" t="str">
        <f t="shared" si="3"/>
        <v/>
      </c>
    </row>
    <row r="18" spans="1:12" ht="13.2">
      <c r="A18" s="139" t="str">
        <f>'t1'!A18</f>
        <v>POSIZ. ECON. D5 PROFILI ACCESSO D3</v>
      </c>
      <c r="B18" s="318" t="str">
        <f>'t1'!B18</f>
        <v>052486</v>
      </c>
      <c r="C18" s="337">
        <f>'t11'!U20+'t11'!V20</f>
        <v>0</v>
      </c>
      <c r="D18" s="337">
        <f>'t1'!L18+'t1'!M18</f>
        <v>0</v>
      </c>
      <c r="E18" s="337">
        <f>'t3'!M18+'t3'!N18+'t3'!O18+'t3'!P18+'t3'!Q18+'t3'!R18</f>
        <v>0</v>
      </c>
      <c r="F18" s="337">
        <f>'t4'!AU18</f>
        <v>0</v>
      </c>
      <c r="G18" s="335">
        <f>'t4'!O50</f>
        <v>0</v>
      </c>
      <c r="H18" s="337">
        <f>'t5'!S19+'t5'!T19</f>
        <v>0</v>
      </c>
      <c r="I18" s="358" t="str">
        <f t="shared" si="0"/>
        <v>OK</v>
      </c>
      <c r="J18" s="358" t="str">
        <f t="shared" si="1"/>
        <v>OK</v>
      </c>
      <c r="K18" s="358" t="str">
        <f t="shared" si="2"/>
        <v>OK</v>
      </c>
      <c r="L18" s="706" t="str">
        <f t="shared" si="3"/>
        <v/>
      </c>
    </row>
    <row r="19" spans="1:12" ht="13.2">
      <c r="A19" s="139" t="str">
        <f>'t1'!A19</f>
        <v>POSIZ. ECON. D5 PROFILI ACCESSO D1</v>
      </c>
      <c r="B19" s="318" t="str">
        <f>'t1'!B19</f>
        <v>052487</v>
      </c>
      <c r="C19" s="337">
        <f>'t11'!U21+'t11'!V21</f>
        <v>0</v>
      </c>
      <c r="D19" s="337">
        <f>'t1'!L19+'t1'!M19</f>
        <v>0</v>
      </c>
      <c r="E19" s="337">
        <f>'t3'!M19+'t3'!N19+'t3'!O19+'t3'!P19+'t3'!Q19+'t3'!R19</f>
        <v>0</v>
      </c>
      <c r="F19" s="337">
        <f>'t4'!AU19</f>
        <v>0</v>
      </c>
      <c r="G19" s="335">
        <f>'t4'!P50</f>
        <v>0</v>
      </c>
      <c r="H19" s="337">
        <f>'t5'!S20+'t5'!T20</f>
        <v>0</v>
      </c>
      <c r="I19" s="358" t="str">
        <f t="shared" si="0"/>
        <v>OK</v>
      </c>
      <c r="J19" s="358" t="str">
        <f t="shared" si="1"/>
        <v>OK</v>
      </c>
      <c r="K19" s="358" t="str">
        <f t="shared" si="2"/>
        <v>OK</v>
      </c>
      <c r="L19" s="706" t="str">
        <f t="shared" si="3"/>
        <v/>
      </c>
    </row>
    <row r="20" spans="1:12" ht="13.2">
      <c r="A20" s="139" t="str">
        <f>'t1'!A20</f>
        <v>POSIZ. ECON. D4 PROFILI ACCESSO D3</v>
      </c>
      <c r="B20" s="318" t="str">
        <f>'t1'!B20</f>
        <v>051488</v>
      </c>
      <c r="C20" s="337">
        <f>'t11'!U22+'t11'!V22</f>
        <v>0</v>
      </c>
      <c r="D20" s="337">
        <f>'t1'!L20+'t1'!M20</f>
        <v>0</v>
      </c>
      <c r="E20" s="337">
        <f>'t3'!M20+'t3'!N20+'t3'!O20+'t3'!P20+'t3'!Q20+'t3'!R20</f>
        <v>0</v>
      </c>
      <c r="F20" s="337">
        <f>'t4'!AU20</f>
        <v>0</v>
      </c>
      <c r="G20" s="335">
        <f>'t4'!Q50</f>
        <v>0</v>
      </c>
      <c r="H20" s="337">
        <f>'t5'!S21+'t5'!T21</f>
        <v>0</v>
      </c>
      <c r="I20" s="358" t="str">
        <f t="shared" si="0"/>
        <v>OK</v>
      </c>
      <c r="J20" s="358" t="str">
        <f t="shared" si="1"/>
        <v>OK</v>
      </c>
      <c r="K20" s="358" t="str">
        <f t="shared" si="2"/>
        <v>OK</v>
      </c>
      <c r="L20" s="706" t="str">
        <f t="shared" si="3"/>
        <v/>
      </c>
    </row>
    <row r="21" spans="1:12" ht="13.2">
      <c r="A21" s="139" t="str">
        <f>'t1'!A21</f>
        <v>POSIZ. ECON. D4 PROFILI ACCESSO D1</v>
      </c>
      <c r="B21" s="318" t="str">
        <f>'t1'!B21</f>
        <v>051489</v>
      </c>
      <c r="C21" s="337">
        <f>'t11'!U23+'t11'!V23</f>
        <v>0</v>
      </c>
      <c r="D21" s="337">
        <f>'t1'!L21+'t1'!M21</f>
        <v>0</v>
      </c>
      <c r="E21" s="337">
        <f>'t3'!M21+'t3'!N21+'t3'!O21+'t3'!P21+'t3'!Q21+'t3'!R21</f>
        <v>0</v>
      </c>
      <c r="F21" s="337">
        <f>'t4'!AU21</f>
        <v>0</v>
      </c>
      <c r="G21" s="335">
        <f>'t4'!R50</f>
        <v>0</v>
      </c>
      <c r="H21" s="337">
        <f>'t5'!S22+'t5'!T22</f>
        <v>0</v>
      </c>
      <c r="I21" s="358" t="str">
        <f t="shared" si="0"/>
        <v>OK</v>
      </c>
      <c r="J21" s="358" t="str">
        <f t="shared" si="1"/>
        <v>OK</v>
      </c>
      <c r="K21" s="358" t="str">
        <f t="shared" si="2"/>
        <v>OK</v>
      </c>
      <c r="L21" s="706" t="str">
        <f t="shared" si="3"/>
        <v/>
      </c>
    </row>
    <row r="22" spans="1:12" ht="13.2">
      <c r="A22" s="139" t="str">
        <f>'t1'!A22</f>
        <v>POSIZIONE ECONOMICA DI ACCESSO D3</v>
      </c>
      <c r="B22" s="318" t="str">
        <f>'t1'!B22</f>
        <v>058000</v>
      </c>
      <c r="C22" s="337">
        <f>'t11'!U24+'t11'!V24</f>
        <v>0</v>
      </c>
      <c r="D22" s="337">
        <f>'t1'!L22+'t1'!M22</f>
        <v>0</v>
      </c>
      <c r="E22" s="337">
        <f>'t3'!M22+'t3'!N22+'t3'!O22+'t3'!P22+'t3'!Q22+'t3'!R22</f>
        <v>0</v>
      </c>
      <c r="F22" s="337">
        <f>'t4'!AU22</f>
        <v>0</v>
      </c>
      <c r="G22" s="335">
        <f>'t4'!S50</f>
        <v>0</v>
      </c>
      <c r="H22" s="337">
        <f>'t5'!S23+'t5'!T23</f>
        <v>0</v>
      </c>
      <c r="I22" s="358" t="str">
        <f t="shared" si="0"/>
        <v>OK</v>
      </c>
      <c r="J22" s="358" t="str">
        <f t="shared" si="1"/>
        <v>OK</v>
      </c>
      <c r="K22" s="358" t="str">
        <f t="shared" si="2"/>
        <v>OK</v>
      </c>
      <c r="L22" s="706" t="str">
        <f t="shared" si="3"/>
        <v/>
      </c>
    </row>
    <row r="23" spans="1:12" ht="13.2">
      <c r="A23" s="139" t="str">
        <f>'t1'!A23</f>
        <v>POSIZIONE ECONOMICA D3</v>
      </c>
      <c r="B23" s="318" t="str">
        <f>'t1'!B23</f>
        <v>050000</v>
      </c>
      <c r="C23" s="337">
        <f>'t11'!U25+'t11'!V25</f>
        <v>0</v>
      </c>
      <c r="D23" s="337">
        <f>'t1'!L23+'t1'!M23</f>
        <v>0</v>
      </c>
      <c r="E23" s="337">
        <f>'t3'!M23+'t3'!N23+'t3'!O23+'t3'!P23+'t3'!Q23+'t3'!R23</f>
        <v>0</v>
      </c>
      <c r="F23" s="337">
        <f>'t4'!AU23</f>
        <v>0</v>
      </c>
      <c r="G23" s="335">
        <f>'t4'!T50</f>
        <v>0</v>
      </c>
      <c r="H23" s="337">
        <f>'t5'!S24+'t5'!T24</f>
        <v>0</v>
      </c>
      <c r="I23" s="358" t="str">
        <f t="shared" si="0"/>
        <v>OK</v>
      </c>
      <c r="J23" s="358" t="str">
        <f t="shared" si="1"/>
        <v>OK</v>
      </c>
      <c r="K23" s="358" t="str">
        <f t="shared" si="2"/>
        <v>OK</v>
      </c>
      <c r="L23" s="706" t="str">
        <f t="shared" si="3"/>
        <v/>
      </c>
    </row>
    <row r="24" spans="1:12" ht="13.2">
      <c r="A24" s="139" t="str">
        <f>'t1'!A24</f>
        <v>POSIZIONE ECONOMICA D2</v>
      </c>
      <c r="B24" s="318" t="str">
        <f>'t1'!B24</f>
        <v>049000</v>
      </c>
      <c r="C24" s="337">
        <f>'t11'!U26+'t11'!V26</f>
        <v>25</v>
      </c>
      <c r="D24" s="337">
        <f>'t1'!L24+'t1'!M24</f>
        <v>0</v>
      </c>
      <c r="E24" s="337">
        <f>'t3'!M24+'t3'!N24+'t3'!O24+'t3'!P24+'t3'!Q24+'t3'!R24</f>
        <v>0</v>
      </c>
      <c r="F24" s="337">
        <f>'t4'!AU24</f>
        <v>0</v>
      </c>
      <c r="G24" s="335">
        <f>'t4'!U50</f>
        <v>0</v>
      </c>
      <c r="H24" s="337">
        <f>'t5'!S25+'t5'!T25</f>
        <v>2</v>
      </c>
      <c r="I24" s="358" t="str">
        <f t="shared" si="0"/>
        <v>OK</v>
      </c>
      <c r="J24" s="358" t="str">
        <f t="shared" si="1"/>
        <v>OK</v>
      </c>
      <c r="K24" s="358" t="str">
        <f t="shared" si="2"/>
        <v>OK</v>
      </c>
      <c r="L24" s="706" t="str">
        <f t="shared" si="3"/>
        <v/>
      </c>
    </row>
    <row r="25" spans="1:12" ht="13.2">
      <c r="A25" s="139" t="str">
        <f>'t1'!A25</f>
        <v>POSIZIONE ECONOMICA DI ACCESSO D1</v>
      </c>
      <c r="B25" s="318" t="str">
        <f>'t1'!B25</f>
        <v>057000</v>
      </c>
      <c r="C25" s="337">
        <f>'t11'!U27+'t11'!V27</f>
        <v>0</v>
      </c>
      <c r="D25" s="337">
        <f>'t1'!L25+'t1'!M25</f>
        <v>1</v>
      </c>
      <c r="E25" s="337">
        <f>'t3'!M25+'t3'!N25+'t3'!O25+'t3'!P25+'t3'!Q25+'t3'!R25</f>
        <v>0</v>
      </c>
      <c r="F25" s="337">
        <f>'t4'!AU25</f>
        <v>0</v>
      </c>
      <c r="G25" s="335">
        <f>'t4'!V50</f>
        <v>0</v>
      </c>
      <c r="H25" s="337">
        <f>'t5'!S26+'t5'!T26</f>
        <v>0</v>
      </c>
      <c r="I25" s="358" t="str">
        <f t="shared" si="0"/>
        <v>ERRORE</v>
      </c>
      <c r="J25" s="358" t="str">
        <f t="shared" si="1"/>
        <v>OK</v>
      </c>
      <c r="K25" s="358" t="str">
        <f t="shared" si="2"/>
        <v>KO</v>
      </c>
      <c r="L25" s="706" t="str">
        <f t="shared" si="3"/>
        <v>sono presenti unità in T1 o personale esterno in T3, ma non assenze in T11</v>
      </c>
    </row>
    <row r="26" spans="1:12" ht="13.2">
      <c r="A26" s="139" t="str">
        <f>'t1'!A26</f>
        <v>POSIZIONE ECONOMICA C5</v>
      </c>
      <c r="B26" s="318" t="str">
        <f>'t1'!B26</f>
        <v>046000</v>
      </c>
      <c r="C26" s="337">
        <f>'t11'!U28+'t11'!V28</f>
        <v>0</v>
      </c>
      <c r="D26" s="337">
        <f>'t1'!L26+'t1'!M26</f>
        <v>0</v>
      </c>
      <c r="E26" s="337">
        <f>'t3'!M26+'t3'!N26+'t3'!O26+'t3'!P26+'t3'!Q26+'t3'!R26</f>
        <v>0</v>
      </c>
      <c r="F26" s="337">
        <f>'t4'!AU26</f>
        <v>0</v>
      </c>
      <c r="G26" s="335">
        <f>'t4'!W50</f>
        <v>0</v>
      </c>
      <c r="H26" s="337">
        <f>'t5'!S27+'t5'!T27</f>
        <v>0</v>
      </c>
      <c r="I26" s="358" t="str">
        <f t="shared" si="0"/>
        <v>OK</v>
      </c>
      <c r="J26" s="358" t="str">
        <f t="shared" si="1"/>
        <v>OK</v>
      </c>
      <c r="K26" s="358" t="str">
        <f t="shared" si="2"/>
        <v>OK</v>
      </c>
      <c r="L26" s="706" t="str">
        <f t="shared" si="3"/>
        <v/>
      </c>
    </row>
    <row r="27" spans="1:12" ht="13.2">
      <c r="A27" s="139" t="str">
        <f>'t1'!A27</f>
        <v>POSIZIONE ECONOMICA C4</v>
      </c>
      <c r="B27" s="318" t="str">
        <f>'t1'!B27</f>
        <v>045000</v>
      </c>
      <c r="C27" s="337">
        <f>'t11'!U29+'t11'!V29</f>
        <v>0</v>
      </c>
      <c r="D27" s="337">
        <f>'t1'!L27+'t1'!M27</f>
        <v>0</v>
      </c>
      <c r="E27" s="337">
        <f>'t3'!M27+'t3'!N27+'t3'!O27+'t3'!P27+'t3'!Q27+'t3'!R27</f>
        <v>0</v>
      </c>
      <c r="F27" s="337">
        <f>'t4'!AU27</f>
        <v>0</v>
      </c>
      <c r="G27" s="335">
        <f>'t4'!X50</f>
        <v>0</v>
      </c>
      <c r="H27" s="337">
        <f>'t5'!S28+'t5'!T28</f>
        <v>0</v>
      </c>
      <c r="I27" s="358" t="str">
        <f t="shared" si="0"/>
        <v>OK</v>
      </c>
      <c r="J27" s="358" t="str">
        <f t="shared" si="1"/>
        <v>OK</v>
      </c>
      <c r="K27" s="358" t="str">
        <f t="shared" si="2"/>
        <v>OK</v>
      </c>
      <c r="L27" s="706" t="str">
        <f t="shared" si="3"/>
        <v/>
      </c>
    </row>
    <row r="28" spans="1:12" ht="13.2">
      <c r="A28" s="139" t="str">
        <f>'t1'!A28</f>
        <v>POSIZIONE ECONOMICA C3</v>
      </c>
      <c r="B28" s="318" t="str">
        <f>'t1'!B28</f>
        <v>043000</v>
      </c>
      <c r="C28" s="337">
        <f>'t11'!U30+'t11'!V30</f>
        <v>0</v>
      </c>
      <c r="D28" s="337">
        <f>'t1'!L28+'t1'!M28</f>
        <v>0</v>
      </c>
      <c r="E28" s="337">
        <f>'t3'!M28+'t3'!N28+'t3'!O28+'t3'!P28+'t3'!Q28+'t3'!R28</f>
        <v>0</v>
      </c>
      <c r="F28" s="337">
        <f>'t4'!AU28</f>
        <v>0</v>
      </c>
      <c r="G28" s="335">
        <f>'t4'!Y50</f>
        <v>0</v>
      </c>
      <c r="H28" s="337">
        <f>'t5'!S29+'t5'!T29</f>
        <v>0</v>
      </c>
      <c r="I28" s="358" t="str">
        <f t="shared" si="0"/>
        <v>OK</v>
      </c>
      <c r="J28" s="358" t="str">
        <f t="shared" si="1"/>
        <v>OK</v>
      </c>
      <c r="K28" s="358" t="str">
        <f t="shared" si="2"/>
        <v>OK</v>
      </c>
      <c r="L28" s="706" t="str">
        <f t="shared" si="3"/>
        <v/>
      </c>
    </row>
    <row r="29" spans="1:12" ht="13.2">
      <c r="A29" s="139" t="str">
        <f>'t1'!A29</f>
        <v>POSIZIONE ECONOMICA C2</v>
      </c>
      <c r="B29" s="318" t="str">
        <f>'t1'!B29</f>
        <v>042000</v>
      </c>
      <c r="C29" s="337">
        <f>'t11'!U31+'t11'!V31</f>
        <v>42</v>
      </c>
      <c r="D29" s="337">
        <f>'t1'!L29+'t1'!M29</f>
        <v>1</v>
      </c>
      <c r="E29" s="337">
        <f>'t3'!M29+'t3'!N29+'t3'!O29+'t3'!P29+'t3'!Q29+'t3'!R29</f>
        <v>0</v>
      </c>
      <c r="F29" s="337">
        <f>'t4'!AU29</f>
        <v>0</v>
      </c>
      <c r="G29" s="335">
        <f>'t4'!Z50</f>
        <v>0</v>
      </c>
      <c r="H29" s="337">
        <f>'t5'!S30+'t5'!T30</f>
        <v>0</v>
      </c>
      <c r="I29" s="358" t="str">
        <f t="shared" si="0"/>
        <v>OK</v>
      </c>
      <c r="J29" s="358" t="str">
        <f t="shared" si="1"/>
        <v>OK</v>
      </c>
      <c r="K29" s="358" t="str">
        <f t="shared" si="2"/>
        <v>OK</v>
      </c>
      <c r="L29" s="706" t="str">
        <f t="shared" si="3"/>
        <v/>
      </c>
    </row>
    <row r="30" spans="1:12" ht="13.2">
      <c r="A30" s="139" t="str">
        <f>'t1'!A30</f>
        <v>POSIZIONE ECONOMICA DI ACCESSO C1</v>
      </c>
      <c r="B30" s="318" t="str">
        <f>'t1'!B30</f>
        <v>056000</v>
      </c>
      <c r="C30" s="337">
        <f>'t11'!U32+'t11'!V32</f>
        <v>103</v>
      </c>
      <c r="D30" s="337">
        <f>'t1'!L30+'t1'!M30</f>
        <v>2</v>
      </c>
      <c r="E30" s="337">
        <f>'t3'!M30+'t3'!N30+'t3'!O30+'t3'!P30+'t3'!Q30+'t3'!R30</f>
        <v>0</v>
      </c>
      <c r="F30" s="337">
        <f>'t4'!AU30</f>
        <v>0</v>
      </c>
      <c r="G30" s="335">
        <f>'t4'!AA50</f>
        <v>0</v>
      </c>
      <c r="H30" s="337">
        <f>'t5'!S31+'t5'!T31</f>
        <v>2</v>
      </c>
      <c r="I30" s="358" t="str">
        <f t="shared" si="0"/>
        <v>OK</v>
      </c>
      <c r="J30" s="358" t="str">
        <f t="shared" si="1"/>
        <v>OK</v>
      </c>
      <c r="K30" s="358" t="str">
        <f t="shared" si="2"/>
        <v>OK</v>
      </c>
      <c r="L30" s="706" t="str">
        <f t="shared" si="3"/>
        <v/>
      </c>
    </row>
    <row r="31" spans="1:12" ht="13.2">
      <c r="A31" s="139" t="str">
        <f>'t1'!A31</f>
        <v>POSIZ. ECON. B7 - PROFILO ACCESSO B3</v>
      </c>
      <c r="B31" s="318" t="str">
        <f>'t1'!B31</f>
        <v>0B7A00</v>
      </c>
      <c r="C31" s="337">
        <f>'t11'!U33+'t11'!V33</f>
        <v>0</v>
      </c>
      <c r="D31" s="337">
        <f>'t1'!L31+'t1'!M31</f>
        <v>0</v>
      </c>
      <c r="E31" s="337">
        <f>'t3'!M31+'t3'!N31+'t3'!O31+'t3'!P31+'t3'!Q31+'t3'!R31</f>
        <v>0</v>
      </c>
      <c r="F31" s="337">
        <f>'t4'!AU31</f>
        <v>0</v>
      </c>
      <c r="G31" s="335">
        <f>'t4'!AB50</f>
        <v>0</v>
      </c>
      <c r="H31" s="337">
        <f>'t5'!S32+'t5'!T32</f>
        <v>0</v>
      </c>
      <c r="I31" s="358" t="str">
        <f t="shared" si="0"/>
        <v>OK</v>
      </c>
      <c r="J31" s="358" t="str">
        <f t="shared" si="1"/>
        <v>OK</v>
      </c>
      <c r="K31" s="358" t="str">
        <f t="shared" si="2"/>
        <v>OK</v>
      </c>
      <c r="L31" s="706" t="str">
        <f t="shared" si="3"/>
        <v/>
      </c>
    </row>
    <row r="32" spans="1:12" ht="13.2">
      <c r="A32" s="139" t="str">
        <f>'t1'!A32</f>
        <v>POSIZ. ECON. B7 - PROFILO  ACCESSO B1</v>
      </c>
      <c r="B32" s="318" t="str">
        <f>'t1'!B32</f>
        <v>0B7000</v>
      </c>
      <c r="C32" s="337">
        <f>'t11'!U34+'t11'!V34</f>
        <v>0</v>
      </c>
      <c r="D32" s="337">
        <f>'t1'!L32+'t1'!M32</f>
        <v>0</v>
      </c>
      <c r="E32" s="337">
        <f>'t3'!M32+'t3'!N32+'t3'!O32+'t3'!P32+'t3'!Q32+'t3'!R32</f>
        <v>0</v>
      </c>
      <c r="F32" s="337">
        <f>'t4'!AU32</f>
        <v>0</v>
      </c>
      <c r="G32" s="335">
        <f>'t4'!AC50</f>
        <v>0</v>
      </c>
      <c r="H32" s="337">
        <f>'t5'!S33+'t5'!T33</f>
        <v>0</v>
      </c>
      <c r="I32" s="358" t="str">
        <f t="shared" si="0"/>
        <v>OK</v>
      </c>
      <c r="J32" s="358" t="str">
        <f t="shared" si="1"/>
        <v>OK</v>
      </c>
      <c r="K32" s="358" t="str">
        <f t="shared" si="2"/>
        <v>OK</v>
      </c>
      <c r="L32" s="706" t="str">
        <f t="shared" si="3"/>
        <v/>
      </c>
    </row>
    <row r="33" spans="1:12" ht="13.2">
      <c r="A33" s="139" t="str">
        <f>'t1'!A33</f>
        <v>POSIZ. ECON. B6 PROFILI ACCESSO B3</v>
      </c>
      <c r="B33" s="318" t="str">
        <f>'t1'!B33</f>
        <v>038490</v>
      </c>
      <c r="C33" s="337">
        <f>'t11'!U35+'t11'!V35</f>
        <v>0</v>
      </c>
      <c r="D33" s="337">
        <f>'t1'!L33+'t1'!M33</f>
        <v>0</v>
      </c>
      <c r="E33" s="337">
        <f>'t3'!M33+'t3'!N33+'t3'!O33+'t3'!P33+'t3'!Q33+'t3'!R33</f>
        <v>0</v>
      </c>
      <c r="F33" s="337">
        <f>'t4'!AU33</f>
        <v>0</v>
      </c>
      <c r="G33" s="335">
        <f>'t4'!AD50</f>
        <v>0</v>
      </c>
      <c r="H33" s="337">
        <f>'t5'!S34+'t5'!T34</f>
        <v>0</v>
      </c>
      <c r="I33" s="358" t="str">
        <f t="shared" si="0"/>
        <v>OK</v>
      </c>
      <c r="J33" s="358" t="str">
        <f t="shared" si="1"/>
        <v>OK</v>
      </c>
      <c r="K33" s="358" t="str">
        <f t="shared" si="2"/>
        <v>OK</v>
      </c>
      <c r="L33" s="706" t="str">
        <f t="shared" si="3"/>
        <v/>
      </c>
    </row>
    <row r="34" spans="1:12" ht="13.2">
      <c r="A34" s="139" t="str">
        <f>'t1'!A34</f>
        <v>POSIZ. ECON. B6 PROFILI ACCESSO B1</v>
      </c>
      <c r="B34" s="318" t="str">
        <f>'t1'!B34</f>
        <v>038491</v>
      </c>
      <c r="C34" s="337">
        <f>'t11'!U36+'t11'!V36</f>
        <v>0</v>
      </c>
      <c r="D34" s="337">
        <f>'t1'!L34+'t1'!M34</f>
        <v>0</v>
      </c>
      <c r="E34" s="337">
        <f>'t3'!M34+'t3'!N34+'t3'!O34+'t3'!P34+'t3'!Q34+'t3'!R34</f>
        <v>0</v>
      </c>
      <c r="F34" s="337">
        <f>'t4'!AU34</f>
        <v>0</v>
      </c>
      <c r="G34" s="335">
        <f>'t4'!AE50</f>
        <v>0</v>
      </c>
      <c r="H34" s="337">
        <f>'t5'!S35+'t5'!T35</f>
        <v>0</v>
      </c>
      <c r="I34" s="358" t="str">
        <f t="shared" si="0"/>
        <v>OK</v>
      </c>
      <c r="J34" s="358" t="str">
        <f t="shared" si="1"/>
        <v>OK</v>
      </c>
      <c r="K34" s="358" t="str">
        <f t="shared" si="2"/>
        <v>OK</v>
      </c>
      <c r="L34" s="706" t="str">
        <f t="shared" si="3"/>
        <v/>
      </c>
    </row>
    <row r="35" spans="1:12" ht="13.2">
      <c r="A35" s="139" t="str">
        <f>'t1'!A35</f>
        <v>POSIZ. ECON. B5 PROFILI ACCESSO B3</v>
      </c>
      <c r="B35" s="318" t="str">
        <f>'t1'!B35</f>
        <v>037492</v>
      </c>
      <c r="C35" s="337">
        <f>'t11'!U37+'t11'!V37</f>
        <v>0</v>
      </c>
      <c r="D35" s="337">
        <f>'t1'!L35+'t1'!M35</f>
        <v>0</v>
      </c>
      <c r="E35" s="337">
        <f>'t3'!M35+'t3'!N35+'t3'!O35+'t3'!P35+'t3'!Q35+'t3'!R35</f>
        <v>0</v>
      </c>
      <c r="F35" s="337">
        <f>'t4'!AU35</f>
        <v>0</v>
      </c>
      <c r="G35" s="335">
        <f>'t4'!AF50</f>
        <v>0</v>
      </c>
      <c r="H35" s="337">
        <f>'t5'!S36+'t5'!T36</f>
        <v>0</v>
      </c>
      <c r="I35" s="358" t="str">
        <f t="shared" si="0"/>
        <v>OK</v>
      </c>
      <c r="J35" s="358" t="str">
        <f t="shared" si="1"/>
        <v>OK</v>
      </c>
      <c r="K35" s="358" t="str">
        <f t="shared" si="2"/>
        <v>OK</v>
      </c>
      <c r="L35" s="706" t="str">
        <f t="shared" si="3"/>
        <v/>
      </c>
    </row>
    <row r="36" spans="1:12" ht="13.2">
      <c r="A36" s="139" t="str">
        <f>'t1'!A36</f>
        <v>POSIZ. ECON. B5 PROFILI ACCESSO B1</v>
      </c>
      <c r="B36" s="318" t="str">
        <f>'t1'!B36</f>
        <v>037493</v>
      </c>
      <c r="C36" s="337">
        <f>'t11'!U38+'t11'!V38</f>
        <v>0</v>
      </c>
      <c r="D36" s="337">
        <f>'t1'!L36+'t1'!M36</f>
        <v>0</v>
      </c>
      <c r="E36" s="337">
        <f>'t3'!M36+'t3'!N36+'t3'!O36+'t3'!P36+'t3'!Q36+'t3'!R36</f>
        <v>0</v>
      </c>
      <c r="F36" s="337">
        <f>'t4'!AU36</f>
        <v>0</v>
      </c>
      <c r="G36" s="335">
        <f>'t4'!AG50</f>
        <v>0</v>
      </c>
      <c r="H36" s="337">
        <f>'t5'!S37+'t5'!T37</f>
        <v>0</v>
      </c>
      <c r="I36" s="358" t="str">
        <f t="shared" si="0"/>
        <v>OK</v>
      </c>
      <c r="J36" s="358" t="str">
        <f t="shared" si="1"/>
        <v>OK</v>
      </c>
      <c r="K36" s="358" t="str">
        <f t="shared" si="2"/>
        <v>OK</v>
      </c>
      <c r="L36" s="706" t="str">
        <f t="shared" si="3"/>
        <v/>
      </c>
    </row>
    <row r="37" spans="1:12" ht="13.2">
      <c r="A37" s="139" t="str">
        <f>'t1'!A37</f>
        <v>POSIZ. ECON. B4 PROFILI ACCESSO B3</v>
      </c>
      <c r="B37" s="318" t="str">
        <f>'t1'!B37</f>
        <v>036494</v>
      </c>
      <c r="C37" s="337">
        <f>'t11'!U39+'t11'!V39</f>
        <v>0</v>
      </c>
      <c r="D37" s="337">
        <f>'t1'!L37+'t1'!M37</f>
        <v>0</v>
      </c>
      <c r="E37" s="337">
        <f>'t3'!M37+'t3'!N37+'t3'!O37+'t3'!P37+'t3'!Q37+'t3'!R37</f>
        <v>0</v>
      </c>
      <c r="F37" s="337">
        <f>'t4'!AU37</f>
        <v>0</v>
      </c>
      <c r="G37" s="335">
        <f>'t4'!AH50</f>
        <v>0</v>
      </c>
      <c r="H37" s="337">
        <f>'t5'!S38+'t5'!T38</f>
        <v>0</v>
      </c>
      <c r="I37" s="358" t="str">
        <f t="shared" si="0"/>
        <v>OK</v>
      </c>
      <c r="J37" s="358" t="str">
        <f t="shared" si="1"/>
        <v>OK</v>
      </c>
      <c r="K37" s="358" t="str">
        <f t="shared" si="2"/>
        <v>OK</v>
      </c>
      <c r="L37" s="706" t="str">
        <f t="shared" si="3"/>
        <v/>
      </c>
    </row>
    <row r="38" spans="1:12" ht="13.2">
      <c r="A38" s="139" t="str">
        <f>'t1'!A38</f>
        <v>POSIZ. ECON. B4 PROFILI ACCESSO B1</v>
      </c>
      <c r="B38" s="318" t="str">
        <f>'t1'!B38</f>
        <v>036495</v>
      </c>
      <c r="C38" s="337">
        <f>'t11'!U40+'t11'!V40</f>
        <v>0</v>
      </c>
      <c r="D38" s="337">
        <f>'t1'!L38+'t1'!M38</f>
        <v>0</v>
      </c>
      <c r="E38" s="337">
        <f>'t3'!M38+'t3'!N38+'t3'!O38+'t3'!P38+'t3'!Q38+'t3'!R38</f>
        <v>0</v>
      </c>
      <c r="F38" s="337">
        <f>'t4'!AU38</f>
        <v>0</v>
      </c>
      <c r="G38" s="335">
        <f>'t4'!AI50</f>
        <v>0</v>
      </c>
      <c r="H38" s="337">
        <f>'t5'!S39+'t5'!T39</f>
        <v>0</v>
      </c>
      <c r="I38" s="358" t="str">
        <f t="shared" si="0"/>
        <v>OK</v>
      </c>
      <c r="J38" s="358" t="str">
        <f t="shared" si="1"/>
        <v>OK</v>
      </c>
      <c r="K38" s="358" t="str">
        <f t="shared" si="2"/>
        <v>OK</v>
      </c>
      <c r="L38" s="706" t="str">
        <f t="shared" si="3"/>
        <v/>
      </c>
    </row>
    <row r="39" spans="1:12" ht="13.2">
      <c r="A39" s="139" t="str">
        <f>'t1'!A39</f>
        <v>POSIZIONE ECONOMICA DI ACCESSO B3</v>
      </c>
      <c r="B39" s="318" t="str">
        <f>'t1'!B39</f>
        <v>055000</v>
      </c>
      <c r="C39" s="337">
        <f>'t11'!U41+'t11'!V41</f>
        <v>0</v>
      </c>
      <c r="D39" s="337">
        <f>'t1'!L39+'t1'!M39</f>
        <v>0</v>
      </c>
      <c r="E39" s="337">
        <f>'t3'!M39+'t3'!N39+'t3'!O39+'t3'!P39+'t3'!Q39+'t3'!R39</f>
        <v>0</v>
      </c>
      <c r="F39" s="337">
        <f>'t4'!AU39</f>
        <v>0</v>
      </c>
      <c r="G39" s="335">
        <f>'t4'!AJ50</f>
        <v>0</v>
      </c>
      <c r="H39" s="337">
        <f>'t5'!S40+'t5'!T40</f>
        <v>0</v>
      </c>
      <c r="I39" s="358" t="str">
        <f t="shared" si="0"/>
        <v>OK</v>
      </c>
      <c r="J39" s="358" t="str">
        <f t="shared" si="1"/>
        <v>OK</v>
      </c>
      <c r="K39" s="358" t="str">
        <f t="shared" si="2"/>
        <v>OK</v>
      </c>
      <c r="L39" s="706" t="str">
        <f t="shared" si="3"/>
        <v/>
      </c>
    </row>
    <row r="40" spans="1:12" ht="13.2">
      <c r="A40" s="139" t="str">
        <f>'t1'!A40</f>
        <v>POSIZIONE ECONOMICA B3</v>
      </c>
      <c r="B40" s="318" t="str">
        <f>'t1'!B40</f>
        <v>034000</v>
      </c>
      <c r="C40" s="337">
        <f>'t11'!U42+'t11'!V42</f>
        <v>0</v>
      </c>
      <c r="D40" s="337">
        <f>'t1'!L40+'t1'!M40</f>
        <v>0</v>
      </c>
      <c r="E40" s="337">
        <f>'t3'!M40+'t3'!N40+'t3'!O40+'t3'!P40+'t3'!Q40+'t3'!R40</f>
        <v>0</v>
      </c>
      <c r="F40" s="337">
        <f>'t4'!AU40</f>
        <v>0</v>
      </c>
      <c r="G40" s="335">
        <f>'t4'!AK50</f>
        <v>0</v>
      </c>
      <c r="H40" s="337">
        <f>'t5'!S41+'t5'!T41</f>
        <v>0</v>
      </c>
      <c r="I40" s="358" t="str">
        <f t="shared" si="0"/>
        <v>OK</v>
      </c>
      <c r="J40" s="358" t="str">
        <f t="shared" si="1"/>
        <v>OK</v>
      </c>
      <c r="K40" s="358" t="str">
        <f t="shared" si="2"/>
        <v>OK</v>
      </c>
      <c r="L40" s="706" t="str">
        <f t="shared" si="3"/>
        <v/>
      </c>
    </row>
    <row r="41" spans="1:12" ht="13.2">
      <c r="A41" s="139" t="str">
        <f>'t1'!A41</f>
        <v>POSIZIONE ECONOMICA B2</v>
      </c>
      <c r="B41" s="318" t="str">
        <f>'t1'!B41</f>
        <v>032000</v>
      </c>
      <c r="C41" s="337">
        <f>'t11'!U43+'t11'!V43</f>
        <v>0</v>
      </c>
      <c r="D41" s="337">
        <f>'t1'!L41+'t1'!M41</f>
        <v>0</v>
      </c>
      <c r="E41" s="337">
        <f>'t3'!M41+'t3'!N41+'t3'!O41+'t3'!P41+'t3'!Q41+'t3'!R41</f>
        <v>0</v>
      </c>
      <c r="F41" s="337">
        <f>'t4'!AU41</f>
        <v>0</v>
      </c>
      <c r="G41" s="335">
        <f>'t4'!AL50</f>
        <v>0</v>
      </c>
      <c r="H41" s="337">
        <f>'t5'!S42+'t5'!T42</f>
        <v>0</v>
      </c>
      <c r="I41" s="358" t="str">
        <f t="shared" si="0"/>
        <v>OK</v>
      </c>
      <c r="J41" s="358" t="str">
        <f t="shared" si="1"/>
        <v>OK</v>
      </c>
      <c r="K41" s="358" t="str">
        <f t="shared" si="2"/>
        <v>OK</v>
      </c>
      <c r="L41" s="706" t="str">
        <f t="shared" si="3"/>
        <v/>
      </c>
    </row>
    <row r="42" spans="1:12" ht="13.2">
      <c r="A42" s="139" t="str">
        <f>'t1'!A42</f>
        <v>POSIZIONE ECONOMICA DI ACCESSO B1</v>
      </c>
      <c r="B42" s="318" t="str">
        <f>'t1'!B42</f>
        <v>054000</v>
      </c>
      <c r="C42" s="337">
        <f>'t11'!U44+'t11'!V44</f>
        <v>0</v>
      </c>
      <c r="D42" s="337">
        <f>'t1'!L42+'t1'!M42</f>
        <v>0</v>
      </c>
      <c r="E42" s="337">
        <f>'t3'!M42+'t3'!N42+'t3'!O42+'t3'!P42+'t3'!Q42+'t3'!R42</f>
        <v>0</v>
      </c>
      <c r="F42" s="337">
        <f>'t4'!AU42</f>
        <v>0</v>
      </c>
      <c r="G42" s="335">
        <f>'t4'!AM50</f>
        <v>0</v>
      </c>
      <c r="H42" s="337">
        <f>'t5'!S43+'t5'!T43</f>
        <v>0</v>
      </c>
      <c r="I42" s="358" t="str">
        <f t="shared" si="0"/>
        <v>OK</v>
      </c>
      <c r="J42" s="358" t="str">
        <f t="shared" si="1"/>
        <v>OK</v>
      </c>
      <c r="K42" s="358" t="str">
        <f t="shared" si="2"/>
        <v>OK</v>
      </c>
      <c r="L42" s="706" t="str">
        <f t="shared" si="3"/>
        <v/>
      </c>
    </row>
    <row r="43" spans="1:12" ht="13.2">
      <c r="A43" s="139" t="str">
        <f>'t1'!A43</f>
        <v>POSIZIONE ECONOMICA A5</v>
      </c>
      <c r="B43" s="318" t="str">
        <f>'t1'!B43</f>
        <v>0A5000</v>
      </c>
      <c r="C43" s="337">
        <f>'t11'!U45+'t11'!V45</f>
        <v>0</v>
      </c>
      <c r="D43" s="337">
        <f>'t1'!L43+'t1'!M43</f>
        <v>0</v>
      </c>
      <c r="E43" s="337">
        <f>'t3'!M43+'t3'!N43+'t3'!O43+'t3'!P43+'t3'!Q43+'t3'!R43</f>
        <v>0</v>
      </c>
      <c r="F43" s="337">
        <f>'t4'!AU43</f>
        <v>0</v>
      </c>
      <c r="G43" s="335">
        <f>'t4'!AN50</f>
        <v>0</v>
      </c>
      <c r="H43" s="337">
        <f>'t5'!S44+'t5'!T44</f>
        <v>0</v>
      </c>
      <c r="I43" s="358" t="str">
        <f t="shared" si="0"/>
        <v>OK</v>
      </c>
      <c r="J43" s="358" t="str">
        <f t="shared" si="1"/>
        <v>OK</v>
      </c>
      <c r="K43" s="358" t="str">
        <f t="shared" si="2"/>
        <v>OK</v>
      </c>
      <c r="L43" s="706" t="str">
        <f t="shared" si="3"/>
        <v/>
      </c>
    </row>
    <row r="44" spans="1:12" ht="13.2">
      <c r="A44" s="139" t="str">
        <f>'t1'!A44</f>
        <v>POSIZIONE ECONOMICA A4</v>
      </c>
      <c r="B44" s="318" t="str">
        <f>'t1'!B44</f>
        <v>028000</v>
      </c>
      <c r="C44" s="337">
        <f>'t11'!U46+'t11'!V46</f>
        <v>0</v>
      </c>
      <c r="D44" s="337">
        <f>'t1'!L44+'t1'!M44</f>
        <v>0</v>
      </c>
      <c r="E44" s="337">
        <f>'t3'!M44+'t3'!N44+'t3'!O44+'t3'!P44+'t3'!Q44+'t3'!R44</f>
        <v>0</v>
      </c>
      <c r="F44" s="337">
        <f>'t4'!AU44</f>
        <v>0</v>
      </c>
      <c r="G44" s="335">
        <f>'t4'!AO50</f>
        <v>0</v>
      </c>
      <c r="H44" s="337">
        <f>'t5'!S45+'t5'!T45</f>
        <v>0</v>
      </c>
      <c r="I44" s="358" t="str">
        <f t="shared" si="0"/>
        <v>OK</v>
      </c>
      <c r="J44" s="358" t="str">
        <f t="shared" si="1"/>
        <v>OK</v>
      </c>
      <c r="K44" s="358" t="str">
        <f t="shared" si="2"/>
        <v>OK</v>
      </c>
      <c r="L44" s="706" t="str">
        <f t="shared" si="3"/>
        <v/>
      </c>
    </row>
    <row r="45" spans="1:12" ht="13.2">
      <c r="A45" s="139" t="str">
        <f>'t1'!A45</f>
        <v>POSIZIONE ECONOMICA A3</v>
      </c>
      <c r="B45" s="318" t="str">
        <f>'t1'!B45</f>
        <v>027000</v>
      </c>
      <c r="C45" s="337">
        <f>'t11'!U47+'t11'!V47</f>
        <v>0</v>
      </c>
      <c r="D45" s="337">
        <f>'t1'!L45+'t1'!M45</f>
        <v>0</v>
      </c>
      <c r="E45" s="337">
        <f>'t3'!M45+'t3'!N45+'t3'!O45+'t3'!P45+'t3'!Q45+'t3'!R45</f>
        <v>0</v>
      </c>
      <c r="F45" s="337">
        <f>'t4'!AU45</f>
        <v>0</v>
      </c>
      <c r="G45" s="335">
        <f>'t4'!AP50</f>
        <v>0</v>
      </c>
      <c r="H45" s="337">
        <f>'t5'!S46+'t5'!T46</f>
        <v>0</v>
      </c>
      <c r="I45" s="358" t="str">
        <f t="shared" si="0"/>
        <v>OK</v>
      </c>
      <c r="J45" s="358" t="str">
        <f t="shared" si="1"/>
        <v>OK</v>
      </c>
      <c r="K45" s="358" t="str">
        <f t="shared" si="2"/>
        <v>OK</v>
      </c>
      <c r="L45" s="706" t="str">
        <f t="shared" si="3"/>
        <v/>
      </c>
    </row>
    <row r="46" spans="1:12" ht="13.2">
      <c r="A46" s="139" t="str">
        <f>'t1'!A46</f>
        <v>POSIZIONE ECONOMICA A2</v>
      </c>
      <c r="B46" s="318" t="str">
        <f>'t1'!B46</f>
        <v>025000</v>
      </c>
      <c r="C46" s="337">
        <f>'t11'!U48+'t11'!V48</f>
        <v>0</v>
      </c>
      <c r="D46" s="337">
        <f>'t1'!L46+'t1'!M46</f>
        <v>0</v>
      </c>
      <c r="E46" s="337">
        <f>'t3'!M46+'t3'!N46+'t3'!O46+'t3'!P46+'t3'!Q46+'t3'!R46</f>
        <v>0</v>
      </c>
      <c r="F46" s="337">
        <f>'t4'!AU46</f>
        <v>0</v>
      </c>
      <c r="G46" s="335">
        <f>'t4'!AQ50</f>
        <v>0</v>
      </c>
      <c r="H46" s="337">
        <f>'t5'!S47+'t5'!T47</f>
        <v>0</v>
      </c>
      <c r="I46" s="358" t="str">
        <f t="shared" si="0"/>
        <v>OK</v>
      </c>
      <c r="J46" s="358" t="str">
        <f t="shared" si="1"/>
        <v>OK</v>
      </c>
      <c r="K46" s="358" t="str">
        <f t="shared" si="2"/>
        <v>OK</v>
      </c>
      <c r="L46" s="706" t="str">
        <f t="shared" si="3"/>
        <v/>
      </c>
    </row>
    <row r="47" spans="1:12" ht="13.2">
      <c r="A47" s="139" t="str">
        <f>'t1'!A47</f>
        <v>POSIZIONE ECONOMICA DI ACCESSO A1</v>
      </c>
      <c r="B47" s="318" t="str">
        <f>'t1'!B47</f>
        <v>053000</v>
      </c>
      <c r="C47" s="337">
        <f>'t11'!U49+'t11'!V49</f>
        <v>0</v>
      </c>
      <c r="D47" s="337">
        <f>'t1'!L47+'t1'!M47</f>
        <v>0</v>
      </c>
      <c r="E47" s="337">
        <f>'t3'!M47+'t3'!N47+'t3'!O47+'t3'!P47+'t3'!Q47+'t3'!R47</f>
        <v>0</v>
      </c>
      <c r="F47" s="337">
        <f>'t4'!AU47</f>
        <v>0</v>
      </c>
      <c r="G47" s="335">
        <f>'t4'!AR50</f>
        <v>0</v>
      </c>
      <c r="H47" s="337">
        <f>'t5'!S48+'t5'!T48</f>
        <v>0</v>
      </c>
      <c r="I47" s="358" t="str">
        <f t="shared" si="0"/>
        <v>OK</v>
      </c>
      <c r="J47" s="358" t="str">
        <f t="shared" si="1"/>
        <v>OK</v>
      </c>
      <c r="K47" s="358" t="str">
        <f t="shared" si="2"/>
        <v>OK</v>
      </c>
      <c r="L47" s="706" t="str">
        <f t="shared" si="3"/>
        <v/>
      </c>
    </row>
    <row r="48" spans="1:12" ht="13.2">
      <c r="A48" s="139" t="str">
        <f>'t1'!A48</f>
        <v>CONTRATTISTI (a)</v>
      </c>
      <c r="B48" s="318" t="str">
        <f>'t1'!B48</f>
        <v>000061</v>
      </c>
      <c r="C48" s="337">
        <f>'t11'!U50+'t11'!V50</f>
        <v>0</v>
      </c>
      <c r="D48" s="337">
        <f>'t1'!L48+'t1'!M48</f>
        <v>0</v>
      </c>
      <c r="E48" s="337">
        <f>'t3'!M48+'t3'!N48+'t3'!O48+'t3'!P48+'t3'!Q48+'t3'!R48</f>
        <v>0</v>
      </c>
      <c r="F48" s="337">
        <f>'t4'!AU48</f>
        <v>0</v>
      </c>
      <c r="G48" s="335">
        <f>'t4'!AS50</f>
        <v>0</v>
      </c>
      <c r="H48" s="337">
        <f>'t5'!S49+'t5'!T49</f>
        <v>0</v>
      </c>
      <c r="I48" s="358" t="str">
        <f t="shared" si="0"/>
        <v>OK</v>
      </c>
      <c r="J48" s="358" t="str">
        <f t="shared" si="1"/>
        <v>OK</v>
      </c>
      <c r="K48" s="358" t="str">
        <f t="shared" si="2"/>
        <v>OK</v>
      </c>
      <c r="L48" s="706" t="str">
        <f t="shared" si="3"/>
        <v/>
      </c>
    </row>
    <row r="49" spans="1:12" ht="13.2">
      <c r="A49" s="139" t="str">
        <f>'t1'!A49</f>
        <v>COLLABORATORE A T.D. ART. 90 TUEL (b)</v>
      </c>
      <c r="B49" s="318" t="str">
        <f>'t1'!B49</f>
        <v>000096</v>
      </c>
      <c r="C49" s="337">
        <f>'t11'!U51+'t11'!V51</f>
        <v>0</v>
      </c>
      <c r="D49" s="337">
        <f>'t1'!L49+'t1'!M49</f>
        <v>0</v>
      </c>
      <c r="E49" s="337">
        <f>'t3'!M49+'t3'!N49+'t3'!O49+'t3'!P49+'t3'!Q49+'t3'!R49</f>
        <v>0</v>
      </c>
      <c r="F49" s="337">
        <f>'t4'!AU49</f>
        <v>0</v>
      </c>
      <c r="G49" s="335">
        <f>'t4'!AT50</f>
        <v>0</v>
      </c>
      <c r="H49" s="337">
        <f>'t5'!S50+'t5'!T50</f>
        <v>0</v>
      </c>
      <c r="I49" s="358" t="str">
        <f t="shared" si="0"/>
        <v>OK</v>
      </c>
      <c r="J49" s="358" t="str">
        <f t="shared" si="1"/>
        <v>OK</v>
      </c>
      <c r="K49" s="358" t="str">
        <f t="shared" si="2"/>
        <v>OK</v>
      </c>
      <c r="L49" s="706" t="str">
        <f t="shared" si="3"/>
        <v/>
      </c>
    </row>
  </sheetData>
  <sheetProtection password="EA98" sheet="1" formatColumns="0" selectLockedCells="1" selectUnlockedCells="1"/>
  <mergeCells count="2">
    <mergeCell ref="D2:K2"/>
    <mergeCell ref="A1:L1"/>
  </mergeCells>
  <phoneticPr fontId="30" type="noConversion"/>
  <printOptions horizontalCentered="1"/>
  <pageMargins left="0.2" right="0.2" top="0.19685039370078741" bottom="0.15748031496062992" header="0.15748031496062992" footer="0.1574803149606299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39">
    <pageSetUpPr fitToPage="1"/>
  </sheetPr>
  <dimension ref="A1:N181"/>
  <sheetViews>
    <sheetView zoomScale="75" zoomScaleNormal="75" workbookViewId="0">
      <selection activeCell="F37" sqref="F37"/>
    </sheetView>
  </sheetViews>
  <sheetFormatPr defaultColWidth="12.85546875" defaultRowHeight="15"/>
  <cols>
    <col min="1" max="1" width="6.85546875" style="655" customWidth="1"/>
    <col min="2" max="2" width="25.85546875" style="662" customWidth="1"/>
    <col min="3" max="3" width="5.42578125" style="662" customWidth="1"/>
    <col min="4" max="4" width="56.140625" style="662" customWidth="1"/>
    <col min="5" max="5" width="22.42578125" style="662" customWidth="1"/>
    <col min="6" max="6" width="23.140625" style="662" customWidth="1"/>
    <col min="7" max="7" width="21.42578125" style="662" customWidth="1"/>
    <col min="8" max="8" width="89.85546875" style="839" customWidth="1"/>
    <col min="9" max="9" width="5" style="618" hidden="1" customWidth="1"/>
    <col min="10" max="10" width="11.140625" style="615" hidden="1" customWidth="1"/>
    <col min="11" max="11" width="12.85546875" style="615" hidden="1" customWidth="1"/>
    <col min="12" max="14" width="12.85546875" style="615" customWidth="1"/>
    <col min="15" max="16384" width="12.85546875" style="615"/>
  </cols>
  <sheetData>
    <row r="1" spans="1:14" ht="62.25" customHeight="1">
      <c r="B1" s="656"/>
      <c r="C1" s="656"/>
      <c r="D1" s="656"/>
      <c r="E1" s="656"/>
      <c r="F1" s="656"/>
      <c r="G1" s="656"/>
      <c r="H1" s="829" t="s">
        <v>422</v>
      </c>
      <c r="I1" s="566"/>
    </row>
    <row r="2" spans="1:14" ht="26.25" customHeight="1" thickBot="1">
      <c r="A2" s="657"/>
      <c r="B2" s="658"/>
      <c r="C2" s="658"/>
      <c r="D2" s="560" t="str">
        <f>'t1'!A1</f>
        <v>COMPARTO REGIONI ED AUTONOMIE LOCALI - anno 2017</v>
      </c>
      <c r="E2" s="658"/>
      <c r="F2" s="658"/>
      <c r="G2" s="658"/>
      <c r="H2" s="830"/>
      <c r="I2" s="566"/>
    </row>
    <row r="3" spans="1:14">
      <c r="B3" s="556"/>
      <c r="C3" s="556"/>
      <c r="D3" s="556"/>
      <c r="E3" s="556"/>
      <c r="F3" s="556"/>
      <c r="G3" s="556"/>
      <c r="H3" s="831"/>
      <c r="I3" s="566"/>
    </row>
    <row r="4" spans="1:14" hidden="1">
      <c r="B4" s="552"/>
      <c r="C4" s="551"/>
      <c r="D4" s="552"/>
      <c r="E4" s="552"/>
      <c r="F4" s="570" t="s">
        <v>101</v>
      </c>
      <c r="G4" s="552"/>
      <c r="H4" s="831"/>
      <c r="I4" s="566"/>
    </row>
    <row r="5" spans="1:14" hidden="1">
      <c r="B5" s="552"/>
      <c r="C5" s="551"/>
      <c r="D5" s="552"/>
      <c r="E5" s="552"/>
      <c r="F5" s="577"/>
      <c r="G5" s="552"/>
      <c r="H5" s="831"/>
      <c r="I5" s="566"/>
    </row>
    <row r="6" spans="1:14" ht="17.25" hidden="1" customHeight="1">
      <c r="A6" s="655" t="s">
        <v>348</v>
      </c>
      <c r="B6" s="557" t="s">
        <v>429</v>
      </c>
      <c r="C6" s="659"/>
      <c r="D6" s="656"/>
      <c r="E6" s="656"/>
      <c r="F6" s="575"/>
      <c r="G6" s="656"/>
      <c r="H6" s="831"/>
      <c r="I6" s="566"/>
    </row>
    <row r="7" spans="1:14" ht="17.25" hidden="1" customHeight="1">
      <c r="B7" s="552"/>
      <c r="C7" s="551"/>
      <c r="D7" s="552"/>
      <c r="E7" s="552"/>
      <c r="F7" s="552"/>
      <c r="G7" s="552"/>
      <c r="H7" s="831"/>
      <c r="I7" s="566"/>
    </row>
    <row r="8" spans="1:14" ht="15" hidden="1" customHeight="1">
      <c r="A8" s="655" t="s">
        <v>349</v>
      </c>
      <c r="B8" s="585" t="s">
        <v>430</v>
      </c>
      <c r="C8" s="551"/>
      <c r="D8" s="552"/>
      <c r="E8" s="552"/>
      <c r="F8" s="575"/>
      <c r="G8" s="552"/>
      <c r="H8" s="831"/>
      <c r="I8" s="566"/>
    </row>
    <row r="9" spans="1:14" ht="15" hidden="1" customHeight="1">
      <c r="B9" s="586"/>
      <c r="C9" s="551"/>
      <c r="D9" s="552"/>
      <c r="E9" s="552"/>
      <c r="F9" s="552"/>
      <c r="G9" s="552"/>
      <c r="H9" s="831"/>
      <c r="I9" s="566"/>
    </row>
    <row r="10" spans="1:14" ht="17.25" customHeight="1">
      <c r="B10" s="552"/>
      <c r="C10" s="551"/>
      <c r="D10" s="552"/>
      <c r="E10" s="552"/>
      <c r="F10" s="570" t="s">
        <v>313</v>
      </c>
      <c r="G10" s="570" t="s">
        <v>314</v>
      </c>
      <c r="H10" s="831"/>
      <c r="I10" s="566"/>
    </row>
    <row r="11" spans="1:14" ht="20.25" customHeight="1">
      <c r="A11" s="655" t="s">
        <v>355</v>
      </c>
      <c r="B11" s="558" t="s">
        <v>428</v>
      </c>
      <c r="C11" s="551"/>
      <c r="D11" s="552"/>
      <c r="E11" s="552"/>
      <c r="F11" s="521"/>
      <c r="G11" s="521"/>
      <c r="H11" s="720" t="str">
        <f>IF(I11=0,"RISPOSTA OBBLIGATORIA","")</f>
        <v>RISPOSTA OBBLIGATORIA</v>
      </c>
      <c r="I11" s="566">
        <v>0</v>
      </c>
      <c r="J11" s="615" t="str">
        <f>IF(I11=1,"VERO",IF(I11=2,"FALSO",""))</f>
        <v/>
      </c>
      <c r="N11" s="617"/>
    </row>
    <row r="12" spans="1:14" ht="15" customHeight="1">
      <c r="A12" s="588"/>
      <c r="B12" s="588"/>
      <c r="C12" s="588"/>
      <c r="D12" s="588"/>
      <c r="E12" s="588"/>
      <c r="F12" s="578"/>
      <c r="G12" s="578"/>
      <c r="H12" s="833"/>
      <c r="I12" s="475"/>
    </row>
    <row r="13" spans="1:14" ht="15" customHeight="1">
      <c r="B13" s="656"/>
      <c r="C13" s="656"/>
      <c r="D13" s="656"/>
      <c r="E13" s="656"/>
      <c r="F13" s="570" t="s">
        <v>313</v>
      </c>
      <c r="G13" s="570" t="s">
        <v>314</v>
      </c>
      <c r="H13" s="831"/>
      <c r="I13" s="566"/>
    </row>
    <row r="14" spans="1:14" ht="20.25" hidden="1" customHeight="1">
      <c r="B14" s="558"/>
      <c r="C14" s="552"/>
      <c r="D14" s="578"/>
      <c r="E14" s="578"/>
      <c r="F14" s="608"/>
      <c r="G14" s="608"/>
      <c r="H14" s="720"/>
      <c r="I14" s="566"/>
    </row>
    <row r="15" spans="1:14" ht="15" hidden="1" customHeight="1">
      <c r="B15" s="656"/>
      <c r="C15" s="656"/>
      <c r="D15" s="656"/>
      <c r="E15" s="656"/>
      <c r="F15" s="577"/>
      <c r="G15" s="577"/>
      <c r="H15" s="831"/>
      <c r="I15" s="566"/>
    </row>
    <row r="16" spans="1:14" ht="20.25" hidden="1" customHeight="1">
      <c r="B16" s="579"/>
      <c r="C16" s="656"/>
      <c r="D16" s="656"/>
      <c r="E16" s="656"/>
      <c r="F16" s="844"/>
      <c r="G16" s="844"/>
      <c r="H16" s="720"/>
      <c r="I16" s="566"/>
      <c r="N16" s="617"/>
    </row>
    <row r="17" spans="1:14" ht="15" hidden="1" customHeight="1">
      <c r="B17" s="656"/>
      <c r="C17" s="656"/>
      <c r="D17" s="656"/>
      <c r="E17" s="656"/>
      <c r="F17" s="656"/>
      <c r="G17" s="656"/>
      <c r="H17" s="831"/>
      <c r="I17" s="566"/>
    </row>
    <row r="18" spans="1:14" ht="43.5" customHeight="1">
      <c r="A18" s="655" t="s">
        <v>350</v>
      </c>
      <c r="B18" s="1368" t="s">
        <v>1067</v>
      </c>
      <c r="C18" s="1369"/>
      <c r="D18" s="1369"/>
      <c r="E18" s="1369"/>
      <c r="F18" s="521"/>
      <c r="G18" s="521"/>
      <c r="H18" s="720" t="str">
        <f>IF(I18=0,"RISPOSTA OBBLIGATORIA","")</f>
        <v>RISPOSTA OBBLIGATORIA</v>
      </c>
      <c r="I18" s="566">
        <v>0</v>
      </c>
      <c r="J18" s="615" t="str">
        <f>IF(I18=1,"VERO",IF(I18=2,"FALSO",""))</f>
        <v/>
      </c>
      <c r="N18" s="617"/>
    </row>
    <row r="19" spans="1:14" ht="15" customHeight="1">
      <c r="B19" s="656"/>
      <c r="C19" s="656"/>
      <c r="D19" s="656"/>
      <c r="E19" s="656"/>
      <c r="F19" s="656"/>
      <c r="G19" s="656"/>
      <c r="H19" s="831"/>
      <c r="I19" s="566"/>
    </row>
    <row r="20" spans="1:14" ht="43.5" customHeight="1">
      <c r="A20" s="655" t="s">
        <v>351</v>
      </c>
      <c r="B20" s="1370" t="s">
        <v>1058</v>
      </c>
      <c r="C20" s="1371"/>
      <c r="D20" s="1371"/>
      <c r="E20" s="1371"/>
      <c r="F20" s="521"/>
      <c r="G20" s="521"/>
      <c r="H20" s="720" t="str">
        <f>IF(I20=0,"RISPOSTA OBBLIGATORIA","")</f>
        <v>RISPOSTA OBBLIGATORIA</v>
      </c>
      <c r="I20" s="566">
        <v>0</v>
      </c>
      <c r="J20" s="615" t="str">
        <f>IF(I20=1,"VERO",IF(I20=2,"FALSO",""))</f>
        <v/>
      </c>
      <c r="N20" s="617"/>
    </row>
    <row r="21" spans="1:14" ht="15" customHeight="1">
      <c r="B21" s="552"/>
      <c r="C21" s="656"/>
      <c r="D21" s="656"/>
      <c r="E21" s="656"/>
      <c r="F21" s="656"/>
      <c r="G21" s="656"/>
      <c r="H21" s="831"/>
      <c r="I21" s="566"/>
    </row>
    <row r="22" spans="1:14" ht="31.5" customHeight="1">
      <c r="A22" s="655" t="s">
        <v>354</v>
      </c>
      <c r="B22" s="1370" t="s">
        <v>724</v>
      </c>
      <c r="C22" s="1371"/>
      <c r="D22" s="1371"/>
      <c r="E22" s="1371"/>
      <c r="F22" s="521"/>
      <c r="G22" s="521"/>
      <c r="H22" s="720" t="str">
        <f>IF(I22=0,"RISPOSTA OBBLIGATORIA","")</f>
        <v>RISPOSTA OBBLIGATORIA</v>
      </c>
      <c r="I22" s="566">
        <v>0</v>
      </c>
      <c r="J22" s="615" t="str">
        <f>IF(I22=1,"VERO",IF(I22=2,"FALSO",""))</f>
        <v/>
      </c>
      <c r="N22" s="617"/>
    </row>
    <row r="23" spans="1:14" ht="15" hidden="1" customHeight="1">
      <c r="B23" s="552"/>
      <c r="C23" s="656"/>
      <c r="D23" s="656"/>
      <c r="E23" s="656"/>
      <c r="F23" s="656"/>
      <c r="G23" s="656"/>
      <c r="H23" s="831"/>
      <c r="I23" s="566"/>
    </row>
    <row r="24" spans="1:14" ht="20.25" hidden="1" customHeight="1">
      <c r="B24" s="656"/>
      <c r="C24" s="656"/>
      <c r="D24" s="656"/>
      <c r="E24" s="656"/>
      <c r="F24" s="656"/>
      <c r="G24" s="656"/>
      <c r="H24" s="831"/>
      <c r="I24"/>
      <c r="N24" s="617"/>
    </row>
    <row r="25" spans="1:14" ht="15" hidden="1" customHeight="1">
      <c r="B25" s="656"/>
      <c r="C25" s="656"/>
      <c r="D25" s="656"/>
      <c r="E25" s="656"/>
      <c r="F25" s="656"/>
      <c r="G25" s="656"/>
      <c r="H25" s="831"/>
      <c r="I25"/>
    </row>
    <row r="26" spans="1:14" ht="15" hidden="1" customHeight="1">
      <c r="B26" s="656"/>
      <c r="C26" s="656"/>
      <c r="D26" s="656"/>
      <c r="E26" s="656"/>
      <c r="F26" s="656"/>
      <c r="G26" s="656"/>
      <c r="H26" s="831"/>
      <c r="I26"/>
    </row>
    <row r="27" spans="1:14" ht="15" hidden="1" customHeight="1">
      <c r="B27" s="656"/>
      <c r="C27" s="656"/>
      <c r="D27" s="656"/>
      <c r="E27" s="656"/>
      <c r="F27" s="656"/>
      <c r="G27" s="656"/>
      <c r="H27" s="831"/>
      <c r="I27"/>
    </row>
    <row r="28" spans="1:14" ht="15" hidden="1" customHeight="1">
      <c r="B28" s="656"/>
      <c r="C28" s="656"/>
      <c r="D28" s="656"/>
      <c r="E28" s="656"/>
      <c r="F28" s="656"/>
      <c r="G28" s="656"/>
      <c r="H28" s="831"/>
      <c r="I28"/>
    </row>
    <row r="29" spans="1:14" ht="15" hidden="1" customHeight="1">
      <c r="B29" s="656"/>
      <c r="C29" s="656"/>
      <c r="D29" s="656"/>
      <c r="E29" s="656"/>
      <c r="F29" s="656"/>
      <c r="G29" s="656"/>
      <c r="H29" s="831"/>
      <c r="I29"/>
    </row>
    <row r="30" spans="1:14" ht="15" customHeight="1">
      <c r="B30" s="656"/>
      <c r="C30" s="656"/>
      <c r="D30" s="656"/>
      <c r="E30" s="656"/>
      <c r="F30" s="656"/>
      <c r="G30" s="656"/>
      <c r="H30" s="831"/>
      <c r="I30" s="566"/>
    </row>
    <row r="31" spans="1:14" ht="15" hidden="1" customHeight="1">
      <c r="B31" s="656"/>
      <c r="C31" s="656"/>
      <c r="D31" s="656"/>
      <c r="E31" s="656"/>
      <c r="F31" s="570" t="s">
        <v>313</v>
      </c>
      <c r="G31" s="570" t="s">
        <v>314</v>
      </c>
      <c r="H31" s="831"/>
      <c r="I31" s="566"/>
    </row>
    <row r="32" spans="1:14" ht="31.5" customHeight="1">
      <c r="A32" s="655" t="s">
        <v>357</v>
      </c>
      <c r="B32" s="1389" t="s">
        <v>2</v>
      </c>
      <c r="C32" s="1389"/>
      <c r="D32" s="1389"/>
      <c r="E32" s="1390"/>
      <c r="F32" s="521"/>
      <c r="G32" s="521"/>
      <c r="H32" s="720" t="str">
        <f>IF(I32=0,"RISPOSTA OBBLIGATORIA","")</f>
        <v>RISPOSTA OBBLIGATORIA</v>
      </c>
      <c r="I32" s="566">
        <v>0</v>
      </c>
      <c r="J32" s="615" t="str">
        <f>IF(I32=1,"VERO",IF(I32=2,"FALSO",""))</f>
        <v/>
      </c>
      <c r="N32" s="617"/>
    </row>
    <row r="33" spans="1:14" ht="15" customHeight="1">
      <c r="B33" s="656"/>
      <c r="C33" s="656"/>
      <c r="D33" s="656"/>
      <c r="E33" s="656"/>
      <c r="F33" s="656"/>
      <c r="G33" s="656"/>
      <c r="H33" s="831"/>
      <c r="I33" s="566"/>
    </row>
    <row r="34" spans="1:14" ht="20.25" customHeight="1">
      <c r="A34" s="655" t="s">
        <v>423</v>
      </c>
      <c r="B34" s="579" t="s">
        <v>458</v>
      </c>
      <c r="C34" s="656"/>
      <c r="D34" s="656"/>
      <c r="E34" s="656"/>
      <c r="F34" s="521"/>
      <c r="G34" s="521"/>
      <c r="H34" s="720" t="str">
        <f>IF(I34=0,"RISPOSTA OBBLIGATORIA","")</f>
        <v>RISPOSTA OBBLIGATORIA</v>
      </c>
      <c r="I34" s="566">
        <v>0</v>
      </c>
      <c r="J34" s="615" t="str">
        <f>IF(I34=1,"VERO",IF(I34=2,"FALSO",""))</f>
        <v/>
      </c>
      <c r="N34" s="617"/>
    </row>
    <row r="35" spans="1:14" ht="15" customHeight="1">
      <c r="B35" s="656"/>
      <c r="C35" s="656"/>
      <c r="D35" s="656"/>
      <c r="E35" s="656"/>
      <c r="F35" s="656"/>
      <c r="G35" s="656"/>
      <c r="H35" s="831"/>
      <c r="I35" s="566"/>
    </row>
    <row r="36" spans="1:14" ht="15" customHeight="1">
      <c r="B36" s="656"/>
      <c r="C36" s="656"/>
      <c r="D36" s="656"/>
      <c r="E36" s="656"/>
      <c r="F36" s="570" t="s">
        <v>101</v>
      </c>
      <c r="G36" s="656"/>
      <c r="H36" s="831"/>
      <c r="I36" s="566"/>
    </row>
    <row r="37" spans="1:14" ht="33" customHeight="1">
      <c r="A37" s="655" t="s">
        <v>444</v>
      </c>
      <c r="B37" s="1366" t="s">
        <v>706</v>
      </c>
      <c r="C37" s="1369"/>
      <c r="D37" s="1369"/>
      <c r="E37" s="1374"/>
      <c r="F37" s="589"/>
      <c r="G37" s="1356" t="str">
        <f>IF(F37=0,"RISPOSTA OBBLIGATORIA","")</f>
        <v>RISPOSTA OBBLIGATORIA</v>
      </c>
      <c r="H37" s="1357"/>
      <c r="I37" s="566"/>
    </row>
    <row r="38" spans="1:14" ht="15" customHeight="1">
      <c r="B38" s="656"/>
      <c r="C38" s="656"/>
      <c r="D38" s="656"/>
      <c r="E38" s="656"/>
      <c r="F38" s="656"/>
      <c r="G38" s="656"/>
      <c r="H38" s="831"/>
      <c r="I38" s="566"/>
    </row>
    <row r="39" spans="1:14" ht="15" customHeight="1">
      <c r="B39" s="656"/>
      <c r="C39" s="656"/>
      <c r="D39" s="656"/>
      <c r="E39" s="656"/>
      <c r="F39" s="570" t="s">
        <v>100</v>
      </c>
      <c r="G39" s="656"/>
      <c r="H39" s="831"/>
      <c r="I39" s="566"/>
    </row>
    <row r="40" spans="1:14" ht="15" hidden="1" customHeight="1">
      <c r="B40" s="557"/>
      <c r="C40" s="659"/>
      <c r="D40" s="656"/>
      <c r="E40" s="656"/>
      <c r="F40" s="575"/>
      <c r="G40" s="656"/>
      <c r="H40" s="831"/>
      <c r="I40" s="566"/>
    </row>
    <row r="41" spans="1:14" ht="15" hidden="1" customHeight="1">
      <c r="B41" s="656"/>
      <c r="C41" s="656"/>
      <c r="D41" s="656"/>
      <c r="E41" s="656"/>
      <c r="F41" s="656"/>
      <c r="G41" s="656"/>
      <c r="H41" s="831"/>
      <c r="I41" s="566"/>
    </row>
    <row r="42" spans="1:14" ht="15" hidden="1" customHeight="1">
      <c r="B42" s="558"/>
      <c r="C42" s="656"/>
      <c r="D42" s="656"/>
      <c r="E42" s="656"/>
      <c r="F42" s="575"/>
      <c r="G42" s="656"/>
      <c r="H42" s="831"/>
      <c r="I42" s="566"/>
    </row>
    <row r="43" spans="1:14" ht="15" hidden="1" customHeight="1">
      <c r="B43" s="656"/>
      <c r="C43" s="656"/>
      <c r="D43" s="656"/>
      <c r="E43" s="656"/>
      <c r="F43" s="656"/>
      <c r="G43" s="656"/>
      <c r="H43" s="831"/>
      <c r="I43" s="566"/>
    </row>
    <row r="44" spans="1:14" ht="28.5" customHeight="1">
      <c r="A44" s="655" t="s">
        <v>447</v>
      </c>
      <c r="B44" s="1368" t="s">
        <v>535</v>
      </c>
      <c r="C44" s="1369"/>
      <c r="D44" s="1369"/>
      <c r="E44" s="1374"/>
      <c r="F44" s="575">
        <v>0</v>
      </c>
      <c r="G44" s="1356" t="str">
        <f>IF(F44="","RISPOSTA OBBLIGATORIA","")</f>
        <v/>
      </c>
      <c r="H44" s="1357"/>
      <c r="I44" s="566"/>
    </row>
    <row r="45" spans="1:14" ht="15" customHeight="1">
      <c r="B45" s="656"/>
      <c r="C45" s="656"/>
      <c r="D45" s="656"/>
      <c r="E45" s="656"/>
      <c r="F45" s="564"/>
      <c r="G45" s="656"/>
      <c r="H45" s="831"/>
      <c r="I45" s="566"/>
    </row>
    <row r="46" spans="1:14" ht="15" customHeight="1">
      <c r="B46" s="656"/>
      <c r="C46" s="656"/>
      <c r="D46" s="656"/>
      <c r="E46" s="656"/>
      <c r="F46" s="570" t="s">
        <v>313</v>
      </c>
      <c r="G46" s="570" t="s">
        <v>314</v>
      </c>
      <c r="H46" s="831"/>
      <c r="I46" s="619"/>
    </row>
    <row r="47" spans="1:14" ht="31.2" customHeight="1">
      <c r="A47" s="655" t="s">
        <v>459</v>
      </c>
      <c r="B47" s="1366" t="s">
        <v>1053</v>
      </c>
      <c r="C47" s="1366"/>
      <c r="D47" s="1366"/>
      <c r="E47" s="1367"/>
      <c r="F47" s="711"/>
      <c r="G47" s="709"/>
      <c r="H47" s="720" t="str">
        <f>IF(I47=0,"RISPOSTA OBBLIGATORIA","")</f>
        <v>RISPOSTA OBBLIGATORIA</v>
      </c>
      <c r="I47" s="566">
        <v>0</v>
      </c>
      <c r="J47" s="615" t="str">
        <f>IF(I47=1,"VERO",IF(I47=2,"FALSO",""))</f>
        <v/>
      </c>
    </row>
    <row r="48" spans="1:14" ht="22.95" customHeight="1">
      <c r="B48" s="1233"/>
      <c r="C48" s="612" t="s">
        <v>1055</v>
      </c>
      <c r="D48" s="1233"/>
      <c r="E48" s="1233"/>
      <c r="F48" s="712"/>
      <c r="G48" s="708"/>
      <c r="H48" s="837"/>
      <c r="I48" s="566"/>
    </row>
    <row r="49" spans="1:10" ht="40.200000000000003" customHeight="1">
      <c r="B49" s="656">
        <v>23</v>
      </c>
      <c r="C49" s="1366" t="s">
        <v>1054</v>
      </c>
      <c r="D49" s="1366"/>
      <c r="E49" s="1367"/>
      <c r="F49" s="711"/>
      <c r="G49" s="709"/>
      <c r="H49" s="720" t="str">
        <f>IF($I$47=1,IF(($I$49)=0,"RISPONDERE OBBLIGATORIAMENTE ALLA DOMANDA"," "),IF(AND($I$47&gt;0,$I$49&gt;0),"LA RISPOSTA DATA IN QUESTA SEZIONE NON VERRA' CONSIDERATA",IF(I49&gt;0,"RISPONDERE ALLA DOMANDA 21","  ")))</f>
        <v xml:space="preserve">  </v>
      </c>
      <c r="I49" s="566">
        <v>0</v>
      </c>
      <c r="J49" s="615" t="str">
        <f>IF(I49=1,"VERO",IF(I49=2,"FALSO",""))</f>
        <v/>
      </c>
    </row>
    <row r="50" spans="1:10" ht="15" customHeight="1">
      <c r="B50" s="558"/>
      <c r="C50" s="612"/>
      <c r="D50" s="612"/>
      <c r="E50" s="1233"/>
      <c r="F50" s="712"/>
      <c r="G50" s="708"/>
      <c r="H50" s="837"/>
      <c r="I50" s="566"/>
    </row>
    <row r="51" spans="1:10" ht="19.95" customHeight="1">
      <c r="B51" s="656"/>
      <c r="C51" s="656"/>
      <c r="D51" s="656"/>
      <c r="E51" s="656"/>
      <c r="F51" s="570" t="s">
        <v>313</v>
      </c>
      <c r="G51" s="570" t="s">
        <v>314</v>
      </c>
      <c r="H51" s="831"/>
      <c r="I51" s="619"/>
    </row>
    <row r="52" spans="1:10" ht="29.4" customHeight="1">
      <c r="A52" s="1019" t="s">
        <v>1056</v>
      </c>
      <c r="B52" s="1366" t="s">
        <v>1057</v>
      </c>
      <c r="C52" s="1366"/>
      <c r="D52" s="1366"/>
      <c r="E52" s="1367"/>
      <c r="F52" s="711"/>
      <c r="G52" s="709"/>
      <c r="H52" s="720" t="str">
        <f>IF(I52=0,"RISPOSTA OBBLIGATORIA","")</f>
        <v>RISPOSTA OBBLIGATORIA</v>
      </c>
      <c r="I52" s="566">
        <v>0</v>
      </c>
      <c r="J52" s="615" t="str">
        <f>IF(I52=1,"VERO",IF(I52=2,"FALSO",""))</f>
        <v/>
      </c>
    </row>
    <row r="53" spans="1:10" ht="15" customHeight="1">
      <c r="B53" s="558"/>
      <c r="C53" s="612"/>
      <c r="D53" s="612"/>
      <c r="E53" s="1233"/>
      <c r="F53" s="712"/>
      <c r="G53" s="708"/>
      <c r="H53" s="837"/>
      <c r="I53" s="566"/>
    </row>
    <row r="54" spans="1:10" ht="15" customHeight="1">
      <c r="B54" s="656"/>
      <c r="C54" s="656"/>
      <c r="D54" s="656"/>
      <c r="E54" s="656"/>
      <c r="F54" s="570" t="s">
        <v>534</v>
      </c>
      <c r="G54" s="656"/>
      <c r="H54" s="831"/>
      <c r="I54" s="566"/>
    </row>
    <row r="55" spans="1:10" ht="30" customHeight="1">
      <c r="A55" s="655" t="s">
        <v>35</v>
      </c>
      <c r="B55" s="1366" t="s">
        <v>36</v>
      </c>
      <c r="C55" s="1366"/>
      <c r="D55" s="1366"/>
      <c r="E55" s="1367"/>
      <c r="F55" s="575">
        <v>0</v>
      </c>
      <c r="G55" s="1356" t="str">
        <f>IF(F55="","RISPOSTA OBBLIGATORIA","")</f>
        <v/>
      </c>
      <c r="H55" s="1357"/>
      <c r="I55" s="566"/>
    </row>
    <row r="56" spans="1:10" ht="15" customHeight="1">
      <c r="B56" s="656"/>
      <c r="C56" s="656"/>
      <c r="D56" s="656"/>
      <c r="E56" s="656"/>
      <c r="F56" s="656"/>
      <c r="G56" s="656"/>
      <c r="H56" s="831"/>
      <c r="I56" s="566"/>
    </row>
    <row r="57" spans="1:10" ht="15" customHeight="1">
      <c r="B57" s="656"/>
      <c r="C57" s="656"/>
      <c r="D57" s="656"/>
      <c r="E57" s="656"/>
      <c r="F57" s="570" t="s">
        <v>534</v>
      </c>
      <c r="G57" s="656"/>
      <c r="H57" s="831"/>
      <c r="I57" s="566"/>
    </row>
    <row r="58" spans="1:10" ht="30" customHeight="1">
      <c r="A58" s="655" t="s">
        <v>37</v>
      </c>
      <c r="B58" s="1366" t="s">
        <v>40</v>
      </c>
      <c r="C58" s="1366"/>
      <c r="D58" s="1366"/>
      <c r="E58" s="1367"/>
      <c r="F58" s="575">
        <v>0</v>
      </c>
      <c r="G58" s="1356" t="str">
        <f>IF(F58="","RISPOSTA OBBLIGATORIA","")</f>
        <v/>
      </c>
      <c r="H58" s="1357"/>
      <c r="I58" s="566"/>
    </row>
    <row r="59" spans="1:10" ht="15" customHeight="1">
      <c r="B59" s="656"/>
      <c r="C59" s="656"/>
      <c r="D59" s="656"/>
      <c r="E59" s="656"/>
      <c r="F59" s="656"/>
      <c r="G59" s="656"/>
      <c r="H59" s="831"/>
      <c r="I59" s="566"/>
    </row>
    <row r="60" spans="1:10" ht="15" customHeight="1">
      <c r="B60" s="656"/>
      <c r="C60" s="656"/>
      <c r="D60" s="656"/>
      <c r="E60" s="656"/>
      <c r="F60" s="570" t="s">
        <v>534</v>
      </c>
      <c r="G60" s="656"/>
      <c r="H60" s="831"/>
      <c r="I60" s="566"/>
    </row>
    <row r="61" spans="1:10" ht="30" customHeight="1">
      <c r="A61" s="655" t="s">
        <v>39</v>
      </c>
      <c r="B61" s="1366" t="s">
        <v>38</v>
      </c>
      <c r="C61" s="1366"/>
      <c r="D61" s="1366"/>
      <c r="E61" s="1367"/>
      <c r="F61" s="575">
        <v>0</v>
      </c>
      <c r="G61" s="1356" t="str">
        <f>IF(F61="","RISPOSTA OBBLIGATORIA","")</f>
        <v/>
      </c>
      <c r="H61" s="1357"/>
      <c r="I61" s="566"/>
    </row>
    <row r="62" spans="1:10" ht="15" hidden="1" customHeight="1">
      <c r="B62" s="702"/>
      <c r="C62" s="702"/>
      <c r="D62" s="702"/>
      <c r="E62" s="702"/>
      <c r="F62" s="712"/>
      <c r="G62" s="708"/>
      <c r="H62" s="837"/>
      <c r="I62" s="566"/>
    </row>
    <row r="63" spans="1:10" ht="15" hidden="1" customHeight="1">
      <c r="B63" s="702"/>
      <c r="C63" s="702"/>
      <c r="D63" s="702"/>
      <c r="E63" s="702"/>
      <c r="F63" s="570" t="s">
        <v>313</v>
      </c>
      <c r="G63" s="570" t="s">
        <v>314</v>
      </c>
      <c r="H63" s="837"/>
      <c r="I63" s="566"/>
    </row>
    <row r="64" spans="1:10" ht="30.75" hidden="1" customHeight="1">
      <c r="A64" s="707" t="s">
        <v>694</v>
      </c>
      <c r="B64" s="1366" t="s">
        <v>723</v>
      </c>
      <c r="C64" s="1366"/>
      <c r="D64" s="1366"/>
      <c r="E64" s="1366"/>
      <c r="F64" s="711"/>
      <c r="G64" s="709"/>
      <c r="H64" s="837"/>
      <c r="I64" s="566"/>
      <c r="J64" s="615" t="str">
        <f>IF(I64=1,"VERO",IF(I64=2,"FALSO",""))</f>
        <v/>
      </c>
    </row>
    <row r="65" spans="1:10" ht="20.25" hidden="1" customHeight="1">
      <c r="A65" s="707"/>
      <c r="B65" s="841"/>
      <c r="C65" s="612" t="s">
        <v>696</v>
      </c>
      <c r="D65" s="841"/>
      <c r="E65" s="841"/>
      <c r="F65" s="712"/>
      <c r="G65" s="708"/>
      <c r="H65" s="837"/>
      <c r="I65" s="566"/>
    </row>
    <row r="66" spans="1:10" ht="15" hidden="1" customHeight="1">
      <c r="B66" s="656"/>
      <c r="C66" s="656"/>
      <c r="D66" s="656"/>
      <c r="E66" s="656"/>
      <c r="F66" s="570" t="s">
        <v>695</v>
      </c>
      <c r="G66" s="708"/>
      <c r="H66" s="837"/>
      <c r="I66" s="566"/>
    </row>
    <row r="67" spans="1:10" ht="30" hidden="1" customHeight="1">
      <c r="A67" s="707"/>
      <c r="B67" s="656">
        <v>29</v>
      </c>
      <c r="C67" s="1366" t="s">
        <v>707</v>
      </c>
      <c r="D67" s="1366"/>
      <c r="E67" s="1367"/>
      <c r="F67" s="575">
        <v>0</v>
      </c>
      <c r="G67" s="1358" t="str">
        <f>IF($I$64=1,IF(($F$67+$F$70)=0,"RISPONDERE OBBLIGATORIAMENTE ALLA DOMANDA 29 E/O 30"," "),IF(AND($I$64=2,F67&gt;0),"LA RISPOSTA DATA IN QUESTA SEZIONE NON VERRA' CONSIDERATA",IF(F67&gt;0,"RISPONDERE ALLA DOMANDA 28"," ")))</f>
        <v xml:space="preserve"> </v>
      </c>
      <c r="H67" s="1359"/>
      <c r="I67" s="566"/>
    </row>
    <row r="68" spans="1:10" ht="15" hidden="1" customHeight="1">
      <c r="A68" s="707"/>
      <c r="B68" s="841"/>
      <c r="C68" s="841"/>
      <c r="D68" s="841"/>
      <c r="E68" s="841"/>
      <c r="F68" s="712"/>
      <c r="G68" s="708"/>
      <c r="H68" s="837"/>
      <c r="I68" s="566"/>
    </row>
    <row r="69" spans="1:10" ht="15" hidden="1" customHeight="1">
      <c r="B69" s="656"/>
      <c r="C69" s="656"/>
      <c r="D69" s="656"/>
      <c r="E69" s="656"/>
      <c r="F69" s="570" t="s">
        <v>695</v>
      </c>
      <c r="G69" s="656"/>
      <c r="H69" s="831"/>
      <c r="I69" s="566"/>
    </row>
    <row r="70" spans="1:10" ht="30" hidden="1" customHeight="1">
      <c r="A70" s="707"/>
      <c r="B70" s="656">
        <v>30</v>
      </c>
      <c r="C70" s="1366" t="s">
        <v>708</v>
      </c>
      <c r="D70" s="1366"/>
      <c r="E70" s="1367"/>
      <c r="F70" s="575">
        <v>0</v>
      </c>
      <c r="G70" s="1358" t="str">
        <f>IF($I$64=1,IF(($F$67+$F$70)=0,"RISPONDERE OBBLIGATORIAMENTE ALLA DOMANDA 29 E/O 30"," "),IF(AND($I$64=2,F70&gt;0),"LA RISPOSTA DATA IN QUESTA SEZIONE NON VERRA' CONSIDERATA",IF(F70&gt;0,"RISPONDERE ALLA DOMANDA 28"," ")))</f>
        <v xml:space="preserve"> </v>
      </c>
      <c r="H70" s="1359"/>
      <c r="I70" s="566"/>
    </row>
    <row r="71" spans="1:10" ht="15" hidden="1" customHeight="1">
      <c r="B71" s="552"/>
      <c r="C71" s="552"/>
      <c r="D71" s="552"/>
      <c r="E71" s="552"/>
      <c r="F71" s="552"/>
      <c r="G71" s="552"/>
      <c r="H71" s="832"/>
      <c r="I71" s="566"/>
    </row>
    <row r="72" spans="1:10" ht="15" hidden="1" customHeight="1">
      <c r="B72" s="1377" t="s">
        <v>536</v>
      </c>
      <c r="C72" s="1378"/>
      <c r="D72" s="1379"/>
      <c r="E72" s="575"/>
      <c r="F72" s="1382" t="str">
        <f xml:space="preserve"> IF(E72:E81=0,"RISPOSTA OBBLIGATORIA","")</f>
        <v>RISPOSTA OBBLIGATORIA</v>
      </c>
      <c r="G72" s="1383"/>
      <c r="H72" s="1384"/>
      <c r="I72" s="566"/>
    </row>
    <row r="73" spans="1:10" ht="15" hidden="1" customHeight="1">
      <c r="B73" s="1378"/>
      <c r="C73" s="1378"/>
      <c r="D73" s="1379"/>
      <c r="E73" s="587"/>
      <c r="F73" s="1385"/>
      <c r="G73" s="1386"/>
      <c r="H73" s="1387"/>
      <c r="I73" s="475"/>
    </row>
    <row r="74" spans="1:10" ht="15" hidden="1" customHeight="1">
      <c r="A74" s="588"/>
      <c r="B74" s="1378"/>
      <c r="C74" s="1378"/>
      <c r="D74" s="1379"/>
      <c r="E74" s="587"/>
      <c r="F74" s="1385"/>
      <c r="G74" s="1386"/>
      <c r="H74" s="1387"/>
      <c r="I74" s="475"/>
    </row>
    <row r="75" spans="1:10" ht="15" hidden="1" customHeight="1">
      <c r="A75" s="588"/>
      <c r="B75" s="1378"/>
      <c r="C75" s="1378"/>
      <c r="D75" s="1379"/>
      <c r="E75" s="587"/>
      <c r="F75" s="1385"/>
      <c r="G75" s="1386"/>
      <c r="H75" s="1387"/>
      <c r="I75" s="475"/>
    </row>
    <row r="76" spans="1:10" ht="15" hidden="1" customHeight="1">
      <c r="A76" s="588"/>
      <c r="B76" s="1378"/>
      <c r="C76" s="1378"/>
      <c r="D76" s="1379"/>
      <c r="E76" s="587"/>
      <c r="F76" s="1385"/>
      <c r="G76" s="1386"/>
      <c r="H76" s="1387"/>
      <c r="I76" s="475"/>
    </row>
    <row r="77" spans="1:10" ht="15" hidden="1" customHeight="1">
      <c r="A77" s="588"/>
      <c r="B77" s="1378"/>
      <c r="C77" s="1378"/>
      <c r="D77" s="1379"/>
      <c r="E77" s="587"/>
      <c r="F77" s="1385"/>
      <c r="G77" s="1386"/>
      <c r="H77" s="1387"/>
      <c r="I77" s="475"/>
    </row>
    <row r="78" spans="1:10" ht="15" hidden="1" customHeight="1">
      <c r="A78" s="588"/>
      <c r="B78" s="1378"/>
      <c r="C78" s="1378"/>
      <c r="D78" s="1379"/>
      <c r="E78" s="587"/>
      <c r="F78" s="1385"/>
      <c r="G78" s="1386"/>
      <c r="H78" s="1387"/>
      <c r="I78" s="475"/>
    </row>
    <row r="79" spans="1:10" s="616" customFormat="1" ht="15" hidden="1" customHeight="1">
      <c r="A79" s="588"/>
      <c r="B79" s="1378"/>
      <c r="C79" s="1378"/>
      <c r="D79" s="1379"/>
      <c r="E79" s="587"/>
      <c r="F79" s="1385"/>
      <c r="G79" s="1386"/>
      <c r="H79" s="1387"/>
      <c r="I79" s="584"/>
      <c r="J79" s="615"/>
    </row>
    <row r="80" spans="1:10" ht="15" hidden="1" customHeight="1">
      <c r="A80" s="588"/>
      <c r="B80" s="1378"/>
      <c r="C80" s="1378"/>
      <c r="D80" s="1379"/>
      <c r="E80" s="587"/>
      <c r="F80" s="1385"/>
      <c r="G80" s="1386"/>
      <c r="H80" s="1387"/>
      <c r="I80" s="475"/>
    </row>
    <row r="81" spans="1:10" ht="15" hidden="1" customHeight="1">
      <c r="A81" s="588"/>
      <c r="B81" s="1378"/>
      <c r="C81" s="1378"/>
      <c r="D81" s="1379"/>
      <c r="E81" s="587"/>
      <c r="F81" s="1385"/>
      <c r="G81" s="1386"/>
      <c r="H81" s="1387"/>
      <c r="I81" s="475"/>
    </row>
    <row r="82" spans="1:10" ht="18.600000000000001" customHeight="1">
      <c r="B82" s="656"/>
      <c r="C82" s="786"/>
      <c r="D82" s="842"/>
      <c r="E82" s="842"/>
      <c r="F82" s="787"/>
      <c r="G82" s="787"/>
      <c r="H82" s="840"/>
      <c r="I82" s="566"/>
    </row>
    <row r="83" spans="1:10" ht="22.2" customHeight="1">
      <c r="B83" s="1391" t="s">
        <v>766</v>
      </c>
      <c r="C83" s="1391"/>
      <c r="D83" s="1391"/>
      <c r="E83" s="842"/>
      <c r="F83" s="570" t="s">
        <v>313</v>
      </c>
      <c r="G83" s="570" t="s">
        <v>314</v>
      </c>
      <c r="H83" s="840"/>
      <c r="I83" s="566"/>
    </row>
    <row r="84" spans="1:10" ht="33" customHeight="1">
      <c r="A84" s="655">
        <v>46</v>
      </c>
      <c r="B84" s="1366" t="s">
        <v>756</v>
      </c>
      <c r="C84" s="1366"/>
      <c r="D84" s="1366"/>
      <c r="E84" s="1366"/>
      <c r="F84" s="664"/>
      <c r="G84" s="664"/>
      <c r="H84" s="720" t="str">
        <f>IF(I84=0,"RISPOSTA OBBLIGATORIA","")</f>
        <v>RISPOSTA OBBLIGATORIA</v>
      </c>
      <c r="I84" s="566">
        <v>0</v>
      </c>
      <c r="J84" s="615" t="str">
        <f>IF(I84=1,"VERO",IF(I84=2,"FALSO",""))</f>
        <v/>
      </c>
    </row>
    <row r="85" spans="1:10" ht="9" customHeight="1">
      <c r="B85" s="656"/>
      <c r="C85" s="786"/>
      <c r="D85" s="842"/>
      <c r="E85" s="842"/>
      <c r="F85" s="787"/>
      <c r="G85" s="787"/>
      <c r="H85" s="840"/>
      <c r="I85" s="566"/>
    </row>
    <row r="86" spans="1:10" ht="33" customHeight="1">
      <c r="A86" s="655">
        <v>47</v>
      </c>
      <c r="B86" s="1366" t="s">
        <v>757</v>
      </c>
      <c r="C86" s="1366"/>
      <c r="D86" s="1366"/>
      <c r="E86" s="1366"/>
      <c r="F86" s="664"/>
      <c r="G86" s="664"/>
      <c r="H86" s="720" t="str">
        <f>IF(I86=0,"RISPOSTA OBBLIGATORIA","")</f>
        <v>RISPOSTA OBBLIGATORIA</v>
      </c>
      <c r="I86" s="566">
        <v>0</v>
      </c>
      <c r="J86" s="615" t="str">
        <f>IF(I86=1,"VERO",IF(I86=2,"FALSO",""))</f>
        <v/>
      </c>
    </row>
    <row r="87" spans="1:10" ht="9" customHeight="1">
      <c r="B87" s="656"/>
      <c r="C87" s="786"/>
      <c r="D87" s="842"/>
      <c r="E87" s="842"/>
      <c r="F87" s="787"/>
      <c r="G87" s="787"/>
      <c r="H87" s="840"/>
      <c r="I87" s="566"/>
    </row>
    <row r="88" spans="1:10" ht="33" customHeight="1">
      <c r="A88" s="655">
        <v>48</v>
      </c>
      <c r="B88" s="1366" t="s">
        <v>758</v>
      </c>
      <c r="C88" s="1366"/>
      <c r="D88" s="1366"/>
      <c r="E88" s="1366"/>
      <c r="F88" s="664"/>
      <c r="G88" s="664"/>
      <c r="H88" s="720" t="str">
        <f>IF(I88=0,"RISPOSTA OBBLIGATORIA","")</f>
        <v>RISPOSTA OBBLIGATORIA</v>
      </c>
      <c r="I88" s="566">
        <v>0</v>
      </c>
      <c r="J88" s="615" t="str">
        <f>IF(I88=1,"VERO",IF(I88=2,"FALSO",""))</f>
        <v/>
      </c>
    </row>
    <row r="89" spans="1:10" ht="9" customHeight="1">
      <c r="B89" s="656"/>
      <c r="C89" s="786"/>
      <c r="D89" s="842"/>
      <c r="E89" s="842"/>
      <c r="F89" s="787"/>
      <c r="G89" s="787"/>
      <c r="H89" s="840"/>
      <c r="I89" s="566"/>
    </row>
    <row r="90" spans="1:10" ht="33" customHeight="1">
      <c r="A90" s="655">
        <v>49</v>
      </c>
      <c r="B90" s="1366" t="s">
        <v>759</v>
      </c>
      <c r="C90" s="1366"/>
      <c r="D90" s="1366"/>
      <c r="E90" s="1366"/>
      <c r="F90" s="664"/>
      <c r="G90" s="664"/>
      <c r="H90" s="720" t="str">
        <f>IF(I90=0,"RISPOSTA OBBLIGATORIA","")</f>
        <v>RISPOSTA OBBLIGATORIA</v>
      </c>
      <c r="I90" s="566">
        <v>0</v>
      </c>
      <c r="J90" s="615" t="str">
        <f>IF(I90=1,"VERO",IF(I90=2,"FALSO",""))</f>
        <v/>
      </c>
    </row>
    <row r="91" spans="1:10" ht="9" customHeight="1">
      <c r="B91" s="656"/>
      <c r="C91" s="786"/>
      <c r="D91" s="842"/>
      <c r="E91" s="842"/>
      <c r="F91" s="787"/>
      <c r="G91" s="787"/>
      <c r="H91" s="840"/>
      <c r="I91" s="566"/>
    </row>
    <row r="92" spans="1:10" ht="33" customHeight="1">
      <c r="A92" s="655">
        <v>50</v>
      </c>
      <c r="B92" s="1366" t="s">
        <v>760</v>
      </c>
      <c r="C92" s="1366"/>
      <c r="D92" s="1366"/>
      <c r="E92" s="1366"/>
      <c r="F92" s="664"/>
      <c r="G92" s="664"/>
      <c r="H92" s="720" t="str">
        <f>IF(I92=0,"RISPOSTA OBBLIGATORIA","")</f>
        <v>RISPOSTA OBBLIGATORIA</v>
      </c>
      <c r="I92" s="566">
        <v>0</v>
      </c>
      <c r="J92" s="615" t="str">
        <f>IF(I92=1,"VERO",IF(I92=2,"FALSO",""))</f>
        <v/>
      </c>
    </row>
    <row r="93" spans="1:10" ht="9" customHeight="1">
      <c r="B93" s="656"/>
      <c r="C93" s="786"/>
      <c r="D93" s="842"/>
      <c r="E93" s="842"/>
      <c r="F93" s="787"/>
      <c r="G93" s="787"/>
      <c r="H93" s="840"/>
      <c r="I93" s="566"/>
    </row>
    <row r="94" spans="1:10" ht="33" customHeight="1">
      <c r="A94" s="655">
        <v>51</v>
      </c>
      <c r="B94" s="1366" t="s">
        <v>761</v>
      </c>
      <c r="C94" s="1366"/>
      <c r="D94" s="1366"/>
      <c r="E94" s="1366"/>
      <c r="F94" s="664"/>
      <c r="G94" s="664"/>
      <c r="H94" s="720" t="str">
        <f>IF(I94=0,"RISPOSTA OBBLIGATORIA","")</f>
        <v>RISPOSTA OBBLIGATORIA</v>
      </c>
      <c r="I94" s="566">
        <v>0</v>
      </c>
      <c r="J94" s="615" t="str">
        <f>IF(I94=1,"VERO",IF(I94=2,"FALSO",""))</f>
        <v/>
      </c>
    </row>
    <row r="95" spans="1:10" ht="9" customHeight="1">
      <c r="B95" s="656"/>
      <c r="C95" s="786"/>
      <c r="D95" s="842"/>
      <c r="E95" s="842"/>
      <c r="F95" s="787"/>
      <c r="G95" s="787"/>
      <c r="H95" s="840"/>
      <c r="I95" s="566"/>
    </row>
    <row r="96" spans="1:10" ht="42" customHeight="1">
      <c r="A96" s="655">
        <v>52</v>
      </c>
      <c r="B96" s="1366" t="s">
        <v>762</v>
      </c>
      <c r="C96" s="1366"/>
      <c r="D96" s="1366"/>
      <c r="E96" s="1366"/>
      <c r="F96" s="664"/>
      <c r="G96" s="664"/>
      <c r="H96" s="720" t="str">
        <f>IF(I96=0,"RISPOSTA OBBLIGATORIA","")</f>
        <v>RISPOSTA OBBLIGATORIA</v>
      </c>
      <c r="I96" s="566">
        <v>0</v>
      </c>
      <c r="J96" s="615" t="str">
        <f>IF(I96=1,"VERO",IF(I96=2,"FALSO",""))</f>
        <v/>
      </c>
    </row>
    <row r="97" spans="1:10" ht="9" customHeight="1">
      <c r="B97" s="656"/>
      <c r="C97" s="786"/>
      <c r="D97" s="842"/>
      <c r="E97" s="842"/>
      <c r="F97" s="787"/>
      <c r="G97" s="787"/>
      <c r="H97" s="840"/>
      <c r="I97" s="566"/>
    </row>
    <row r="98" spans="1:10" ht="33" customHeight="1">
      <c r="A98" s="655">
        <v>53</v>
      </c>
      <c r="B98" s="1366" t="s">
        <v>763</v>
      </c>
      <c r="C98" s="1366"/>
      <c r="D98" s="1366"/>
      <c r="E98" s="1366"/>
      <c r="F98" s="664"/>
      <c r="G98" s="664"/>
      <c r="H98" s="720" t="str">
        <f>IF(I98=0,"RISPOSTA OBBLIGATORIA","")</f>
        <v>RISPOSTA OBBLIGATORIA</v>
      </c>
      <c r="I98" s="566">
        <v>0</v>
      </c>
      <c r="J98" s="615" t="str">
        <f>IF(I98=1,"VERO",IF(I98=2,"FALSO",""))</f>
        <v/>
      </c>
    </row>
    <row r="99" spans="1:10" ht="9" customHeight="1">
      <c r="B99" s="656"/>
      <c r="C99" s="786"/>
      <c r="D99" s="842"/>
      <c r="E99" s="842"/>
      <c r="F99" s="787"/>
      <c r="G99" s="787"/>
      <c r="H99" s="840"/>
      <c r="I99" s="566"/>
    </row>
    <row r="100" spans="1:10" ht="33" customHeight="1">
      <c r="A100" s="655">
        <v>54</v>
      </c>
      <c r="B100" s="1366" t="s">
        <v>764</v>
      </c>
      <c r="C100" s="1366"/>
      <c r="D100" s="1366"/>
      <c r="E100" s="1366"/>
      <c r="F100" s="664"/>
      <c r="G100" s="664"/>
      <c r="H100" s="720" t="str">
        <f>IF(I100=0,"RISPOSTA OBBLIGATORIA","")</f>
        <v>RISPOSTA OBBLIGATORIA</v>
      </c>
      <c r="I100" s="566">
        <v>0</v>
      </c>
      <c r="J100" s="615" t="str">
        <f>IF(I100=1,"VERO",IF(I100=2,"FALSO",""))</f>
        <v/>
      </c>
    </row>
    <row r="101" spans="1:10" ht="9" customHeight="1">
      <c r="B101" s="656"/>
      <c r="C101" s="786"/>
      <c r="D101" s="842"/>
      <c r="E101" s="842"/>
      <c r="F101" s="787"/>
      <c r="G101" s="787"/>
      <c r="H101" s="840"/>
      <c r="I101" s="566"/>
    </row>
    <row r="102" spans="1:10" ht="42" customHeight="1">
      <c r="A102" s="655">
        <v>55</v>
      </c>
      <c r="B102" s="1366" t="s">
        <v>765</v>
      </c>
      <c r="C102" s="1366"/>
      <c r="D102" s="1366"/>
      <c r="E102" s="1366"/>
      <c r="F102" s="664"/>
      <c r="G102" s="664"/>
      <c r="H102" s="720" t="str">
        <f>IF(I102=0,"RISPOSTA OBBLIGATORIA","")</f>
        <v>RISPOSTA OBBLIGATORIA</v>
      </c>
      <c r="I102" s="566">
        <v>0</v>
      </c>
      <c r="J102" s="615" t="str">
        <f>IF(I102=1,"VERO",IF(I102=2,"FALSO",""))</f>
        <v/>
      </c>
    </row>
    <row r="103" spans="1:10" ht="9" customHeight="1">
      <c r="B103" s="656"/>
      <c r="C103" s="786"/>
      <c r="D103" s="842"/>
      <c r="E103" s="842"/>
      <c r="F103" s="787"/>
      <c r="G103" s="787"/>
      <c r="H103" s="840"/>
      <c r="I103" s="566"/>
    </row>
    <row r="104" spans="1:10" ht="33" customHeight="1">
      <c r="A104" s="655">
        <v>56</v>
      </c>
      <c r="B104" s="1366" t="s">
        <v>462</v>
      </c>
      <c r="C104" s="1366"/>
      <c r="D104" s="1366"/>
      <c r="E104" s="1366"/>
      <c r="F104" s="664"/>
      <c r="G104" s="664"/>
      <c r="H104" s="720" t="str">
        <f>IF(I104=0,"RISPOSTA OBBLIGATORIA","")</f>
        <v>RISPOSTA OBBLIGATORIA</v>
      </c>
      <c r="I104" s="566">
        <v>0</v>
      </c>
      <c r="J104" s="615" t="str">
        <f>IF(I104=1,"VERO",IF(I104=2,"FALSO",""))</f>
        <v/>
      </c>
    </row>
    <row r="105" spans="1:10" ht="15" customHeight="1">
      <c r="B105" s="975"/>
      <c r="C105" s="988"/>
      <c r="D105" s="987"/>
      <c r="E105" s="992"/>
      <c r="F105" s="987"/>
      <c r="G105" s="988"/>
      <c r="H105" s="989"/>
      <c r="I105" s="566"/>
    </row>
    <row r="106" spans="1:10" customFormat="1">
      <c r="A106" s="655"/>
      <c r="B106" s="656"/>
      <c r="C106" s="656"/>
      <c r="D106" s="656"/>
      <c r="E106" s="656"/>
      <c r="F106" s="570" t="s">
        <v>534</v>
      </c>
      <c r="G106" s="656"/>
      <c r="H106" s="831"/>
    </row>
    <row r="107" spans="1:10" customFormat="1" ht="36" customHeight="1">
      <c r="A107" s="655" t="s">
        <v>860</v>
      </c>
      <c r="B107" s="1366" t="s">
        <v>1062</v>
      </c>
      <c r="C107" s="1366"/>
      <c r="D107" s="1366"/>
      <c r="E107" s="1367"/>
      <c r="F107" s="575">
        <v>0</v>
      </c>
      <c r="G107" s="1356" t="str">
        <f>IF(F107="","RISPOSTA OBBLIGATORIA","")</f>
        <v/>
      </c>
      <c r="H107" s="1357"/>
    </row>
    <row r="108" spans="1:10" customFormat="1">
      <c r="A108" s="655"/>
      <c r="B108" s="656"/>
      <c r="C108" s="656"/>
      <c r="D108" s="656"/>
      <c r="E108" s="656"/>
      <c r="F108" s="656"/>
      <c r="G108" s="656"/>
      <c r="H108" s="831"/>
    </row>
    <row r="109" spans="1:10" customFormat="1">
      <c r="A109" s="655"/>
      <c r="B109" s="656"/>
      <c r="C109" s="656"/>
      <c r="D109" s="656"/>
      <c r="E109" s="656"/>
      <c r="F109" s="570" t="s">
        <v>534</v>
      </c>
      <c r="G109" s="656"/>
      <c r="H109" s="831"/>
    </row>
    <row r="110" spans="1:10" customFormat="1" ht="36" customHeight="1">
      <c r="A110" s="655" t="s">
        <v>861</v>
      </c>
      <c r="B110" s="1366" t="s">
        <v>1063</v>
      </c>
      <c r="C110" s="1366"/>
      <c r="D110" s="1366"/>
      <c r="E110" s="1367"/>
      <c r="F110" s="575">
        <v>0</v>
      </c>
      <c r="G110" s="1356" t="str">
        <f>IF(F110="","RISPOSTA OBBLIGATORIA","")</f>
        <v/>
      </c>
      <c r="H110" s="1357"/>
    </row>
    <row r="111" spans="1:10" customFormat="1">
      <c r="A111" s="655"/>
      <c r="B111" s="656"/>
      <c r="C111" s="656"/>
      <c r="D111" s="656"/>
      <c r="E111" s="656"/>
      <c r="F111" s="656"/>
      <c r="G111" s="656"/>
      <c r="H111" s="831"/>
    </row>
    <row r="112" spans="1:10" customFormat="1">
      <c r="A112" s="655"/>
      <c r="B112" s="656"/>
      <c r="C112" s="656"/>
      <c r="D112" s="656"/>
      <c r="E112" s="656"/>
      <c r="F112" s="570" t="s">
        <v>534</v>
      </c>
      <c r="G112" s="656"/>
      <c r="H112" s="831"/>
    </row>
    <row r="113" spans="1:9" customFormat="1" ht="36" customHeight="1">
      <c r="A113" s="655" t="s">
        <v>862</v>
      </c>
      <c r="B113" s="1366" t="s">
        <v>1064</v>
      </c>
      <c r="C113" s="1366"/>
      <c r="D113" s="1366"/>
      <c r="E113" s="1367"/>
      <c r="F113" s="575">
        <v>0</v>
      </c>
      <c r="G113" s="1356" t="str">
        <f>IF(F113="","RISPOSTA OBBLIGATORIA","")</f>
        <v/>
      </c>
      <c r="H113" s="1357"/>
    </row>
    <row r="114" spans="1:9" customFormat="1" ht="15.6" hidden="1" customHeight="1">
      <c r="A114" s="655"/>
      <c r="B114" s="1111"/>
      <c r="C114" s="1111"/>
      <c r="D114" s="1111"/>
      <c r="E114" s="1111"/>
      <c r="F114" s="1111"/>
      <c r="G114" s="708"/>
      <c r="H114" s="1112"/>
    </row>
    <row r="115" spans="1:9" customFormat="1" ht="15.6" hidden="1" customHeight="1">
      <c r="A115" s="655"/>
      <c r="B115" s="1111"/>
      <c r="C115" s="1111"/>
      <c r="D115" s="1111"/>
      <c r="E115" s="1111"/>
      <c r="F115" s="1111"/>
      <c r="G115" s="708"/>
      <c r="H115" s="831"/>
    </row>
    <row r="116" spans="1:9" customFormat="1" ht="15.6" hidden="1" customHeight="1">
      <c r="A116" s="655"/>
      <c r="B116" s="1111"/>
      <c r="C116" s="1111"/>
      <c r="D116" s="1111"/>
      <c r="E116" s="1111"/>
      <c r="F116" s="1111"/>
      <c r="G116" s="708"/>
      <c r="H116" s="831"/>
    </row>
    <row r="117" spans="1:9" customFormat="1" ht="15.6" hidden="1" customHeight="1">
      <c r="A117" s="655"/>
      <c r="B117" s="1111"/>
      <c r="C117" s="1111"/>
      <c r="D117" s="1111"/>
      <c r="E117" s="1111"/>
      <c r="F117" s="1111"/>
      <c r="G117" s="708"/>
      <c r="H117" s="831"/>
    </row>
    <row r="118" spans="1:9" customFormat="1" ht="15.6" hidden="1" customHeight="1">
      <c r="A118" s="655"/>
      <c r="B118" s="1111"/>
      <c r="C118" s="1111"/>
      <c r="D118" s="1111"/>
      <c r="E118" s="1111"/>
      <c r="F118" s="1111"/>
      <c r="G118" s="708"/>
      <c r="H118" s="831"/>
    </row>
    <row r="119" spans="1:9" customFormat="1" ht="15.6" hidden="1" customHeight="1">
      <c r="A119" s="655"/>
      <c r="B119" s="1111"/>
      <c r="C119" s="1111"/>
      <c r="D119" s="1111"/>
      <c r="E119" s="1111"/>
      <c r="F119" s="1111"/>
      <c r="G119" s="708"/>
      <c r="H119" s="1112"/>
    </row>
    <row r="120" spans="1:9" ht="15.6" customHeight="1">
      <c r="B120" s="656"/>
      <c r="C120" s="786"/>
      <c r="D120" s="863"/>
      <c r="E120" s="863"/>
      <c r="F120" s="1111"/>
      <c r="G120" s="787"/>
      <c r="H120" s="840"/>
      <c r="I120" s="566"/>
    </row>
    <row r="121" spans="1:9" ht="15" customHeight="1">
      <c r="B121" s="656"/>
      <c r="C121" s="656"/>
      <c r="D121" s="656"/>
      <c r="E121" s="656"/>
      <c r="F121" s="570"/>
      <c r="G121" s="656"/>
      <c r="H121" s="831"/>
      <c r="I121" s="619"/>
    </row>
    <row r="122" spans="1:9" ht="49.2" customHeight="1">
      <c r="A122" s="663" t="s">
        <v>800</v>
      </c>
      <c r="B122" s="1362" t="s">
        <v>1065</v>
      </c>
      <c r="C122" s="1362"/>
      <c r="D122" s="1362"/>
      <c r="E122" s="1363"/>
      <c r="F122" s="1020" t="s">
        <v>897</v>
      </c>
      <c r="G122" s="1229"/>
      <c r="H122" s="720" t="str">
        <f>IF(I122=0,"RISPOSTA OBBLIGATORIA","")</f>
        <v>RISPOSTA OBBLIGATORIA</v>
      </c>
      <c r="I122" s="1021">
        <f>IF(F122="si",1,IF(F122="no",2,IF(F122="non tenuto","x",0)))</f>
        <v>0</v>
      </c>
    </row>
    <row r="123" spans="1:9" ht="15" hidden="1" customHeight="1">
      <c r="B123" s="656"/>
      <c r="C123" s="656"/>
      <c r="D123" s="656"/>
      <c r="E123" s="656"/>
      <c r="F123" s="656"/>
      <c r="G123" s="656"/>
      <c r="H123" s="831"/>
      <c r="I123" s="566"/>
    </row>
    <row r="124" spans="1:9" ht="15" hidden="1" customHeight="1">
      <c r="B124" s="656"/>
      <c r="C124" s="656"/>
      <c r="D124" s="656"/>
      <c r="E124" s="656"/>
      <c r="F124" s="570"/>
      <c r="G124" s="570"/>
      <c r="H124" s="831"/>
      <c r="I124" s="619"/>
    </row>
    <row r="125" spans="1:9" ht="43.5" hidden="1" customHeight="1">
      <c r="A125" s="663"/>
      <c r="B125" s="1372"/>
      <c r="C125" s="1372"/>
      <c r="D125" s="1372"/>
      <c r="E125" s="1373"/>
      <c r="F125" s="521"/>
      <c r="G125" s="521"/>
      <c r="H125" s="720"/>
    </row>
    <row r="126" spans="1:9" ht="15" hidden="1" customHeight="1">
      <c r="B126" s="656"/>
      <c r="C126" s="656"/>
      <c r="D126" s="656"/>
      <c r="E126" s="656"/>
      <c r="F126" s="564"/>
      <c r="G126" s="615"/>
      <c r="H126" s="831"/>
      <c r="I126" s="566"/>
    </row>
    <row r="127" spans="1:9" ht="15" hidden="1" customHeight="1">
      <c r="B127" s="656"/>
      <c r="C127" s="656"/>
      <c r="D127" s="656"/>
      <c r="E127" s="656"/>
      <c r="F127" s="570"/>
      <c r="G127" s="570"/>
      <c r="H127" s="831"/>
      <c r="I127" s="619"/>
    </row>
    <row r="128" spans="1:9" ht="46.5" hidden="1" customHeight="1">
      <c r="A128" s="663"/>
      <c r="B128" s="1362"/>
      <c r="C128" s="1362"/>
      <c r="D128" s="1362"/>
      <c r="E128" s="1363"/>
      <c r="F128" s="664"/>
      <c r="G128" s="664"/>
      <c r="H128" s="720"/>
    </row>
    <row r="129" spans="1:10" ht="18.600000000000001" customHeight="1">
      <c r="B129" s="656"/>
      <c r="C129" s="786"/>
      <c r="D129" s="1015"/>
      <c r="E129" s="1015"/>
      <c r="F129" s="787"/>
      <c r="G129" s="787"/>
      <c r="H129" s="840"/>
      <c r="I129" s="566"/>
    </row>
    <row r="130" spans="1:10" ht="15" customHeight="1">
      <c r="B130" s="1377" t="s">
        <v>536</v>
      </c>
      <c r="C130" s="1378"/>
      <c r="D130" s="1379"/>
      <c r="E130" s="575"/>
      <c r="F130" s="1382" t="str">
        <f xml:space="preserve"> IF(E130:E179=0,"RISPOSTA OBBLIGATORIA","")</f>
        <v>RISPOSTA OBBLIGATORIA</v>
      </c>
      <c r="G130" s="1383"/>
      <c r="H130" s="1384"/>
      <c r="I130" s="566"/>
    </row>
    <row r="131" spans="1:10" ht="15" customHeight="1">
      <c r="B131" s="1378"/>
      <c r="C131" s="1378"/>
      <c r="D131" s="1379"/>
      <c r="E131" s="587"/>
      <c r="F131" s="1385"/>
      <c r="G131" s="1386"/>
      <c r="H131" s="1387"/>
      <c r="I131" s="475"/>
    </row>
    <row r="132" spans="1:10" ht="15" customHeight="1">
      <c r="A132" s="588"/>
      <c r="B132" s="1378"/>
      <c r="C132" s="1378"/>
      <c r="D132" s="1379"/>
      <c r="E132" s="587"/>
      <c r="F132" s="1385"/>
      <c r="G132" s="1386"/>
      <c r="H132" s="1387"/>
      <c r="I132" s="475"/>
    </row>
    <row r="133" spans="1:10" ht="15" customHeight="1">
      <c r="A133" s="588"/>
      <c r="B133" s="1378"/>
      <c r="C133" s="1378"/>
      <c r="D133" s="1379"/>
      <c r="E133" s="587"/>
      <c r="F133" s="1385"/>
      <c r="G133" s="1386"/>
      <c r="H133" s="1387"/>
      <c r="I133" s="475"/>
    </row>
    <row r="134" spans="1:10" ht="15" customHeight="1">
      <c r="A134" s="588"/>
      <c r="B134" s="1378"/>
      <c r="C134" s="1378"/>
      <c r="D134" s="1379"/>
      <c r="E134" s="587"/>
      <c r="F134" s="1385"/>
      <c r="G134" s="1386"/>
      <c r="H134" s="1387"/>
      <c r="I134" s="475"/>
    </row>
    <row r="135" spans="1:10" ht="15" customHeight="1">
      <c r="A135" s="588"/>
      <c r="B135" s="1378"/>
      <c r="C135" s="1378"/>
      <c r="D135" s="1379"/>
      <c r="E135" s="587"/>
      <c r="F135" s="1385"/>
      <c r="G135" s="1386"/>
      <c r="H135" s="1387"/>
      <c r="I135" s="475"/>
    </row>
    <row r="136" spans="1:10" ht="15" customHeight="1">
      <c r="A136" s="588"/>
      <c r="B136" s="1378"/>
      <c r="C136" s="1378"/>
      <c r="D136" s="1379"/>
      <c r="E136" s="587"/>
      <c r="F136" s="1385"/>
      <c r="G136" s="1386"/>
      <c r="H136" s="1387"/>
      <c r="I136" s="475"/>
    </row>
    <row r="137" spans="1:10" s="616" customFormat="1" ht="15" customHeight="1">
      <c r="A137" s="588"/>
      <c r="B137" s="1378"/>
      <c r="C137" s="1378"/>
      <c r="D137" s="1379"/>
      <c r="E137" s="587"/>
      <c r="F137" s="1385"/>
      <c r="G137" s="1386"/>
      <c r="H137" s="1387"/>
      <c r="I137" s="584"/>
      <c r="J137" s="615"/>
    </row>
    <row r="138" spans="1:10" ht="15" customHeight="1">
      <c r="A138" s="588"/>
      <c r="B138" s="1378"/>
      <c r="C138" s="1378"/>
      <c r="D138" s="1379"/>
      <c r="E138" s="587"/>
      <c r="F138" s="1385"/>
      <c r="G138" s="1386"/>
      <c r="H138" s="1387"/>
      <c r="I138" s="475"/>
    </row>
    <row r="139" spans="1:10" ht="15" customHeight="1">
      <c r="A139" s="588"/>
      <c r="B139" s="1378"/>
      <c r="C139" s="1378"/>
      <c r="D139" s="1379"/>
      <c r="E139" s="587"/>
      <c r="F139" s="1385"/>
      <c r="G139" s="1386"/>
      <c r="H139" s="1387"/>
      <c r="I139" s="475"/>
    </row>
    <row r="140" spans="1:10" ht="15" customHeight="1">
      <c r="B140" s="1380"/>
      <c r="C140" s="1380"/>
      <c r="D140" s="1381"/>
      <c r="E140" s="587"/>
      <c r="F140" s="1388"/>
      <c r="G140" s="1380"/>
      <c r="H140" s="1381"/>
      <c r="I140" s="566"/>
    </row>
    <row r="141" spans="1:10" ht="15" customHeight="1">
      <c r="B141" s="1380"/>
      <c r="C141" s="1380"/>
      <c r="D141" s="1381"/>
      <c r="E141" s="587"/>
      <c r="F141" s="1388"/>
      <c r="G141" s="1380"/>
      <c r="H141" s="1381"/>
      <c r="I141" s="566"/>
    </row>
    <row r="142" spans="1:10" ht="15" customHeight="1">
      <c r="B142" s="1380"/>
      <c r="C142" s="1380"/>
      <c r="D142" s="1381"/>
      <c r="E142" s="587"/>
      <c r="F142" s="1388"/>
      <c r="G142" s="1380"/>
      <c r="H142" s="1381"/>
      <c r="I142" s="566"/>
    </row>
    <row r="143" spans="1:10" ht="15" customHeight="1">
      <c r="B143" s="1380"/>
      <c r="C143" s="1380"/>
      <c r="D143" s="1381"/>
      <c r="E143" s="587"/>
      <c r="F143" s="1388"/>
      <c r="G143" s="1380"/>
      <c r="H143" s="1381"/>
      <c r="I143" s="566"/>
    </row>
    <row r="144" spans="1:10" ht="15" customHeight="1">
      <c r="B144" s="1380"/>
      <c r="C144" s="1380"/>
      <c r="D144" s="1381"/>
      <c r="E144" s="587"/>
      <c r="F144" s="1388"/>
      <c r="G144" s="1380"/>
      <c r="H144" s="1381"/>
      <c r="I144" s="566"/>
    </row>
    <row r="145" spans="2:9" ht="15" customHeight="1">
      <c r="B145" s="1380"/>
      <c r="C145" s="1380"/>
      <c r="D145" s="1381"/>
      <c r="E145" s="587"/>
      <c r="F145" s="1388"/>
      <c r="G145" s="1380"/>
      <c r="H145" s="1381"/>
      <c r="I145" s="566"/>
    </row>
    <row r="146" spans="2:9" ht="15" customHeight="1">
      <c r="B146" s="1380"/>
      <c r="C146" s="1380"/>
      <c r="D146" s="1381"/>
      <c r="E146" s="587"/>
      <c r="F146" s="1388"/>
      <c r="G146" s="1380"/>
      <c r="H146" s="1381"/>
      <c r="I146" s="566"/>
    </row>
    <row r="147" spans="2:9" ht="15" customHeight="1">
      <c r="B147" s="1380"/>
      <c r="C147" s="1380"/>
      <c r="D147" s="1381"/>
      <c r="E147" s="587"/>
      <c r="F147" s="1388"/>
      <c r="G147" s="1380"/>
      <c r="H147" s="1381"/>
      <c r="I147" s="566"/>
    </row>
    <row r="148" spans="2:9" ht="15" customHeight="1">
      <c r="B148" s="1380"/>
      <c r="C148" s="1380"/>
      <c r="D148" s="1381"/>
      <c r="E148" s="587"/>
      <c r="F148" s="1388"/>
      <c r="G148" s="1380"/>
      <c r="H148" s="1381"/>
      <c r="I148" s="566"/>
    </row>
    <row r="149" spans="2:9" ht="15" customHeight="1">
      <c r="B149" s="1380"/>
      <c r="C149" s="1380"/>
      <c r="D149" s="1381"/>
      <c r="E149" s="587"/>
      <c r="F149" s="1388"/>
      <c r="G149" s="1380"/>
      <c r="H149" s="1381"/>
      <c r="I149" s="566"/>
    </row>
    <row r="150" spans="2:9" ht="15" customHeight="1">
      <c r="B150" s="1380"/>
      <c r="C150" s="1380"/>
      <c r="D150" s="1381"/>
      <c r="E150" s="587"/>
      <c r="F150" s="1388"/>
      <c r="G150" s="1380"/>
      <c r="H150" s="1381"/>
      <c r="I150" s="566"/>
    </row>
    <row r="151" spans="2:9" ht="15" customHeight="1">
      <c r="B151" s="1380"/>
      <c r="C151" s="1380"/>
      <c r="D151" s="1381"/>
      <c r="E151" s="587"/>
      <c r="F151" s="1388"/>
      <c r="G151" s="1380"/>
      <c r="H151" s="1381"/>
      <c r="I151" s="566"/>
    </row>
    <row r="152" spans="2:9" ht="15" customHeight="1">
      <c r="B152" s="1380"/>
      <c r="C152" s="1380"/>
      <c r="D152" s="1381"/>
      <c r="E152" s="587"/>
      <c r="F152" s="1388"/>
      <c r="G152" s="1380"/>
      <c r="H152" s="1381"/>
      <c r="I152" s="566"/>
    </row>
    <row r="153" spans="2:9" ht="15" customHeight="1">
      <c r="B153" s="1380"/>
      <c r="C153" s="1380"/>
      <c r="D153" s="1381"/>
      <c r="E153" s="587"/>
      <c r="F153" s="1388"/>
      <c r="G153" s="1380"/>
      <c r="H153" s="1381"/>
      <c r="I153" s="566"/>
    </row>
    <row r="154" spans="2:9" ht="15" customHeight="1">
      <c r="B154" s="1380"/>
      <c r="C154" s="1380"/>
      <c r="D154" s="1381"/>
      <c r="E154" s="587"/>
      <c r="F154" s="1388"/>
      <c r="G154" s="1380"/>
      <c r="H154" s="1381"/>
      <c r="I154" s="566"/>
    </row>
    <row r="155" spans="2:9" ht="15" customHeight="1">
      <c r="B155" s="1380"/>
      <c r="C155" s="1380"/>
      <c r="D155" s="1381"/>
      <c r="E155" s="587"/>
      <c r="F155" s="1388"/>
      <c r="G155" s="1380"/>
      <c r="H155" s="1381"/>
      <c r="I155" s="566"/>
    </row>
    <row r="156" spans="2:9" ht="15" customHeight="1">
      <c r="B156" s="1380"/>
      <c r="C156" s="1380"/>
      <c r="D156" s="1381"/>
      <c r="E156" s="587"/>
      <c r="F156" s="1388"/>
      <c r="G156" s="1380"/>
      <c r="H156" s="1381"/>
      <c r="I156" s="566"/>
    </row>
    <row r="157" spans="2:9" ht="15" customHeight="1">
      <c r="B157" s="1380"/>
      <c r="C157" s="1380"/>
      <c r="D157" s="1381"/>
      <c r="E157" s="587"/>
      <c r="F157" s="1388"/>
      <c r="G157" s="1380"/>
      <c r="H157" s="1381"/>
      <c r="I157" s="566"/>
    </row>
    <row r="158" spans="2:9" ht="15" customHeight="1">
      <c r="B158" s="1380"/>
      <c r="C158" s="1380"/>
      <c r="D158" s="1381"/>
      <c r="E158" s="587"/>
      <c r="F158" s="1388"/>
      <c r="G158" s="1380"/>
      <c r="H158" s="1381"/>
      <c r="I158" s="566"/>
    </row>
    <row r="159" spans="2:9" ht="15" customHeight="1">
      <c r="B159" s="1380"/>
      <c r="C159" s="1380"/>
      <c r="D159" s="1381"/>
      <c r="E159" s="587"/>
      <c r="F159" s="1388"/>
      <c r="G159" s="1380"/>
      <c r="H159" s="1381"/>
      <c r="I159" s="566"/>
    </row>
    <row r="160" spans="2:9" ht="15" customHeight="1">
      <c r="B160" s="1380"/>
      <c r="C160" s="1380"/>
      <c r="D160" s="1381"/>
      <c r="E160" s="587"/>
      <c r="F160" s="1388"/>
      <c r="G160" s="1380"/>
      <c r="H160" s="1381"/>
      <c r="I160" s="566"/>
    </row>
    <row r="161" spans="2:9" ht="15" customHeight="1">
      <c r="B161" s="1380"/>
      <c r="C161" s="1380"/>
      <c r="D161" s="1381"/>
      <c r="E161" s="587"/>
      <c r="F161" s="1388"/>
      <c r="G161" s="1380"/>
      <c r="H161" s="1381"/>
      <c r="I161" s="566"/>
    </row>
    <row r="162" spans="2:9" ht="15" customHeight="1">
      <c r="B162" s="1380"/>
      <c r="C162" s="1380"/>
      <c r="D162" s="1381"/>
      <c r="E162" s="587"/>
      <c r="F162" s="1388"/>
      <c r="G162" s="1380"/>
      <c r="H162" s="1381"/>
      <c r="I162" s="566"/>
    </row>
    <row r="163" spans="2:9" ht="15" customHeight="1">
      <c r="B163" s="1380"/>
      <c r="C163" s="1380"/>
      <c r="D163" s="1381"/>
      <c r="E163" s="587"/>
      <c r="F163" s="1388"/>
      <c r="G163" s="1380"/>
      <c r="H163" s="1381"/>
      <c r="I163" s="566"/>
    </row>
    <row r="164" spans="2:9" ht="15" customHeight="1">
      <c r="B164" s="1380"/>
      <c r="C164" s="1380"/>
      <c r="D164" s="1381"/>
      <c r="E164" s="587"/>
      <c r="F164" s="1388"/>
      <c r="G164" s="1380"/>
      <c r="H164" s="1381"/>
      <c r="I164" s="566"/>
    </row>
    <row r="165" spans="2:9" ht="15" customHeight="1">
      <c r="B165" s="1380"/>
      <c r="C165" s="1380"/>
      <c r="D165" s="1381"/>
      <c r="E165" s="587"/>
      <c r="F165" s="1388"/>
      <c r="G165" s="1380"/>
      <c r="H165" s="1381"/>
      <c r="I165" s="566"/>
    </row>
    <row r="166" spans="2:9" ht="15" customHeight="1">
      <c r="B166" s="1380"/>
      <c r="C166" s="1380"/>
      <c r="D166" s="1381"/>
      <c r="E166" s="587"/>
      <c r="F166" s="1388"/>
      <c r="G166" s="1380"/>
      <c r="H166" s="1381"/>
      <c r="I166" s="566"/>
    </row>
    <row r="167" spans="2:9" ht="15" customHeight="1">
      <c r="B167" s="1380"/>
      <c r="C167" s="1380"/>
      <c r="D167" s="1381"/>
      <c r="E167" s="587"/>
      <c r="F167" s="1388"/>
      <c r="G167" s="1380"/>
      <c r="H167" s="1381"/>
      <c r="I167" s="566"/>
    </row>
    <row r="168" spans="2:9" ht="15" customHeight="1">
      <c r="B168" s="1380"/>
      <c r="C168" s="1380"/>
      <c r="D168" s="1381"/>
      <c r="E168" s="587"/>
      <c r="F168" s="1388"/>
      <c r="G168" s="1380"/>
      <c r="H168" s="1381"/>
      <c r="I168" s="566"/>
    </row>
    <row r="169" spans="2:9" ht="15" customHeight="1">
      <c r="B169" s="1380"/>
      <c r="C169" s="1380"/>
      <c r="D169" s="1381"/>
      <c r="E169" s="587"/>
      <c r="F169" s="1388"/>
      <c r="G169" s="1380"/>
      <c r="H169" s="1381"/>
      <c r="I169" s="566"/>
    </row>
    <row r="170" spans="2:9" ht="15" customHeight="1">
      <c r="B170" s="1380"/>
      <c r="C170" s="1380"/>
      <c r="D170" s="1381"/>
      <c r="E170" s="587"/>
      <c r="F170" s="1388"/>
      <c r="G170" s="1380"/>
      <c r="H170" s="1381"/>
      <c r="I170" s="566"/>
    </row>
    <row r="171" spans="2:9" ht="15" customHeight="1">
      <c r="B171" s="1380"/>
      <c r="C171" s="1380"/>
      <c r="D171" s="1381"/>
      <c r="E171" s="587"/>
      <c r="F171" s="1388"/>
      <c r="G171" s="1380"/>
      <c r="H171" s="1381"/>
      <c r="I171" s="566"/>
    </row>
    <row r="172" spans="2:9" ht="15" customHeight="1">
      <c r="B172" s="1380"/>
      <c r="C172" s="1380"/>
      <c r="D172" s="1381"/>
      <c r="E172" s="587"/>
      <c r="F172" s="1388"/>
      <c r="G172" s="1380"/>
      <c r="H172" s="1381"/>
      <c r="I172" s="566"/>
    </row>
    <row r="173" spans="2:9" ht="15" customHeight="1">
      <c r="B173" s="1380"/>
      <c r="C173" s="1380"/>
      <c r="D173" s="1381"/>
      <c r="E173" s="587"/>
      <c r="F173" s="1388"/>
      <c r="G173" s="1380"/>
      <c r="H173" s="1381"/>
      <c r="I173" s="566"/>
    </row>
    <row r="174" spans="2:9" ht="15" customHeight="1">
      <c r="B174" s="1380"/>
      <c r="C174" s="1380"/>
      <c r="D174" s="1381"/>
      <c r="E174" s="587"/>
      <c r="F174" s="1388"/>
      <c r="G174" s="1380"/>
      <c r="H174" s="1381"/>
      <c r="I174" s="566"/>
    </row>
    <row r="175" spans="2:9" ht="15" customHeight="1">
      <c r="B175" s="1380"/>
      <c r="C175" s="1380"/>
      <c r="D175" s="1381"/>
      <c r="E175" s="587"/>
      <c r="F175" s="1388"/>
      <c r="G175" s="1380"/>
      <c r="H175" s="1381"/>
      <c r="I175" s="566"/>
    </row>
    <row r="176" spans="2:9" ht="15" customHeight="1">
      <c r="B176" s="1380"/>
      <c r="C176" s="1380"/>
      <c r="D176" s="1381"/>
      <c r="E176" s="587"/>
      <c r="F176" s="1388"/>
      <c r="G176" s="1380"/>
      <c r="H176" s="1381"/>
      <c r="I176" s="566"/>
    </row>
    <row r="177" spans="1:11" ht="15" customHeight="1">
      <c r="B177" s="1380"/>
      <c r="C177" s="1380"/>
      <c r="D177" s="1381"/>
      <c r="E177" s="587"/>
      <c r="F177" s="1388"/>
      <c r="G177" s="1380"/>
      <c r="H177" s="1381"/>
      <c r="I177" s="566"/>
    </row>
    <row r="178" spans="1:11" ht="15" customHeight="1">
      <c r="B178" s="1380"/>
      <c r="C178" s="1380"/>
      <c r="D178" s="1381"/>
      <c r="E178" s="587"/>
      <c r="F178" s="1388"/>
      <c r="G178" s="1380"/>
      <c r="H178" s="1381"/>
      <c r="I178" s="566"/>
    </row>
    <row r="179" spans="1:11" ht="15" customHeight="1">
      <c r="B179" s="1380"/>
      <c r="C179" s="1380"/>
      <c r="D179" s="1381"/>
      <c r="E179" s="587"/>
      <c r="F179" s="1388"/>
      <c r="G179" s="1380"/>
      <c r="H179" s="1381"/>
      <c r="I179" s="566"/>
    </row>
    <row r="180" spans="1:11">
      <c r="A180" s="660"/>
      <c r="B180" s="661"/>
      <c r="C180" s="986"/>
      <c r="D180" s="986"/>
      <c r="E180" s="986"/>
      <c r="F180" s="986"/>
      <c r="G180" s="986"/>
      <c r="H180" s="990"/>
      <c r="I180" s="615">
        <f>SUM(I14,I18,I20,I22,I24,I26,I32,I34,SUM(F37,F42,F44),SUM(I47,I122),SUM(F55,F58,F61),SUM(I64,F67,F70),SUM(I64,F67,F70),SUM(F107,F110,F113))</f>
        <v>0</v>
      </c>
    </row>
    <row r="181" spans="1:11" hidden="1">
      <c r="I181" s="721" t="str">
        <f>IF(OR(COUNTIF(J181:K181,"KO")&gt;0,E72="",F44="",F55="",F58="",F61=""),"KO","OK")</f>
        <v>KO</v>
      </c>
      <c r="J181" s="615" t="str">
        <f>IF(OR(I11=0,I18=0,I20=0,I22=0,I32=0,I34=0,F37=0,I122=0,I84=0,I86=0,I88=0,I90=0,I92=0,I94=0,I96=0,I98=0,I100=0,I102=0,I104=0,),"KO","OK")</f>
        <v>KO</v>
      </c>
      <c r="K181" s="615" t="str">
        <f>IF(I64=1,(IF(OR(F67&gt;0,F70&gt;0),"OK","KO")),"OK")</f>
        <v>OK</v>
      </c>
    </row>
  </sheetData>
  <sheetProtection password="EA98" sheet="1" formatColumns="0" selectLockedCells="1"/>
  <mergeCells count="47">
    <mergeCell ref="B47:E47"/>
    <mergeCell ref="C49:E49"/>
    <mergeCell ref="B52:E52"/>
    <mergeCell ref="B128:E128"/>
    <mergeCell ref="B102:E102"/>
    <mergeCell ref="B104:E104"/>
    <mergeCell ref="B86:E86"/>
    <mergeCell ref="B88:E88"/>
    <mergeCell ref="B90:E90"/>
    <mergeCell ref="B92:E92"/>
    <mergeCell ref="B125:E125"/>
    <mergeCell ref="G107:H107"/>
    <mergeCell ref="B110:E110"/>
    <mergeCell ref="B72:D81"/>
    <mergeCell ref="B113:E113"/>
    <mergeCell ref="B94:E94"/>
    <mergeCell ref="B96:E96"/>
    <mergeCell ref="F72:H81"/>
    <mergeCell ref="B83:D83"/>
    <mergeCell ref="B84:E84"/>
    <mergeCell ref="B64:E64"/>
    <mergeCell ref="C67:E67"/>
    <mergeCell ref="G67:H67"/>
    <mergeCell ref="C70:E70"/>
    <mergeCell ref="G70:H70"/>
    <mergeCell ref="B100:E100"/>
    <mergeCell ref="B98:E98"/>
    <mergeCell ref="B122:E122"/>
    <mergeCell ref="B55:E55"/>
    <mergeCell ref="G55:H55"/>
    <mergeCell ref="B58:E58"/>
    <mergeCell ref="G58:H58"/>
    <mergeCell ref="G110:H110"/>
    <mergeCell ref="B107:E107"/>
    <mergeCell ref="B61:E61"/>
    <mergeCell ref="G113:H113"/>
    <mergeCell ref="G61:H61"/>
    <mergeCell ref="B130:D179"/>
    <mergeCell ref="F130:H179"/>
    <mergeCell ref="B18:E18"/>
    <mergeCell ref="B20:E20"/>
    <mergeCell ref="B22:E22"/>
    <mergeCell ref="B32:E32"/>
    <mergeCell ref="B37:E37"/>
    <mergeCell ref="G37:H37"/>
    <mergeCell ref="B44:E44"/>
    <mergeCell ref="G44:H44"/>
  </mergeCells>
  <dataValidations count="5">
    <dataValidation type="whole" allowBlank="1" showInputMessage="1" showErrorMessage="1" errorTitle="ATTENZIONE" error="INSERIRE UN VALORE NUMERICO INTERO" sqref="F6 F8">
      <formula1>0</formula1>
      <formula2>100</formula2>
    </dataValidation>
    <dataValidation type="decimal" allowBlank="1" showInputMessage="1" showErrorMessage="1" errorTitle="ATTENZIONE" error="INSERIRE SOLO VALORI NUMERICI CON DUE DECIMALI" sqref="F37">
      <formula1>0.01</formula1>
      <formula2>100</formula2>
    </dataValidation>
    <dataValidation type="whole" allowBlank="1" showInputMessage="1" showErrorMessage="1" errorTitle="ERRORE NEL DATO IMMESSO" error="INSERIRE SOLO NUMERI INTERI" sqref="E72:E81 E105 E130:E179">
      <formula1>1</formula1>
      <formula2>99999</formula2>
    </dataValidation>
    <dataValidation type="whole" allowBlank="1" showInputMessage="1" showErrorMessage="1" errorTitle="ATTENZIONE" error="INSERIRE SOLO VALORI NUMERICI INTERI" sqref="F58 F70 F42 F44 F40 F61:F62 F64:F65 F67:F68 F55 F107 F113:F119 F110 F47:F50 F52:F53">
      <formula1>0</formula1>
      <formula2>999999999999</formula2>
    </dataValidation>
    <dataValidation type="list" allowBlank="1" showInputMessage="1" showErrorMessage="1" sqref="F122">
      <formula1>"_, SI, No, Non Tenuto"</formula1>
    </dataValidation>
  </dataValidations>
  <printOptions horizontalCentered="1"/>
  <pageMargins left="0.23622047244094491" right="0.23622047244094491" top="0.59055118110236227" bottom="0.98425196850393704" header="0.51181102362204722" footer="0.51181102362204722"/>
  <pageSetup paperSize="9" scale="33" orientation="portrait" r:id="rId1"/>
  <headerFooter alignWithMargins="0"/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33">
    <pageSetUpPr fitToPage="1"/>
  </sheetPr>
  <dimension ref="A1:M49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RowHeight="10.199999999999999"/>
  <cols>
    <col min="1" max="1" width="38.85546875" style="5" customWidth="1"/>
    <col min="2" max="2" width="10" style="7" customWidth="1"/>
    <col min="3" max="4" width="17.85546875" style="7" customWidth="1"/>
    <col min="5" max="5" width="16.28515625" style="7" customWidth="1"/>
    <col min="6" max="6" width="15.85546875" style="110" customWidth="1"/>
    <col min="7" max="7" width="18.28515625" style="110" customWidth="1"/>
    <col min="8" max="8" width="16.28515625" style="7" customWidth="1"/>
    <col min="9" max="9" width="15.85546875" style="110" customWidth="1"/>
    <col min="10" max="10" width="18.28515625" style="7" customWidth="1"/>
  </cols>
  <sheetData>
    <row r="1" spans="1:13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J1" s="1442"/>
      <c r="K1" s="3"/>
      <c r="M1"/>
    </row>
    <row r="2" spans="1:13" s="5" customFormat="1" ht="12.75" customHeight="1">
      <c r="D2" s="1524"/>
      <c r="E2" s="1524"/>
      <c r="F2" s="1524"/>
      <c r="G2" s="1524"/>
      <c r="H2" s="1524"/>
      <c r="I2" s="1524"/>
      <c r="J2" s="1524"/>
      <c r="K2" s="3"/>
      <c r="M2"/>
    </row>
    <row r="3" spans="1:13" s="5" customFormat="1" ht="21" customHeight="1">
      <c r="A3" s="196" t="s">
        <v>687</v>
      </c>
      <c r="B3" s="7"/>
      <c r="C3" s="7"/>
    </row>
    <row r="4" spans="1:13" ht="30.6">
      <c r="A4" s="181" t="s">
        <v>270</v>
      </c>
      <c r="B4" s="183" t="s">
        <v>232</v>
      </c>
      <c r="C4" s="646" t="s">
        <v>367</v>
      </c>
      <c r="D4" s="182" t="s">
        <v>408</v>
      </c>
      <c r="E4" s="646" t="s">
        <v>680</v>
      </c>
      <c r="F4" s="646" t="s">
        <v>686</v>
      </c>
      <c r="G4" s="182" t="s">
        <v>515</v>
      </c>
      <c r="H4" s="646" t="s">
        <v>681</v>
      </c>
      <c r="I4" s="646" t="s">
        <v>686</v>
      </c>
      <c r="J4" s="646" t="s">
        <v>682</v>
      </c>
    </row>
    <row r="5" spans="1:13" s="200" customFormat="1">
      <c r="A5" s="180"/>
      <c r="B5" s="194"/>
      <c r="C5" s="194" t="s">
        <v>234</v>
      </c>
      <c r="D5" s="198" t="s">
        <v>235</v>
      </c>
      <c r="E5" s="198" t="s">
        <v>678</v>
      </c>
      <c r="F5" s="198" t="s">
        <v>684</v>
      </c>
      <c r="G5" s="198" t="s">
        <v>238</v>
      </c>
      <c r="H5" s="198" t="s">
        <v>679</v>
      </c>
      <c r="I5" s="198" t="s">
        <v>685</v>
      </c>
      <c r="J5" s="198"/>
    </row>
    <row r="6" spans="1:13" ht="13.2">
      <c r="A6" s="139" t="str">
        <f>'t1'!A6</f>
        <v>SEGRETARIO A</v>
      </c>
      <c r="B6" s="318" t="str">
        <f>'t1'!B6</f>
        <v>0D0102</v>
      </c>
      <c r="C6" s="337">
        <f>'t13'!W6</f>
        <v>0</v>
      </c>
      <c r="D6" s="337">
        <f>'t13'!T6</f>
        <v>0</v>
      </c>
      <c r="E6" s="339" t="str">
        <f>IF($C6=0," ",IF(D6=0," ",D6/$C6))</f>
        <v xml:space="preserve"> </v>
      </c>
      <c r="F6" s="323" t="str">
        <f>IF($C6=0," ",IF(D6=0," ",IF(E6&gt;0.2,"ERRORE","OK")))</f>
        <v xml:space="preserve"> </v>
      </c>
      <c r="G6" s="337">
        <f>'t13'!U6</f>
        <v>0</v>
      </c>
      <c r="H6" s="339" t="str">
        <f>IF($C6=0," ",IF(G6=0," ",G6/$C6))</f>
        <v xml:space="preserve"> </v>
      </c>
      <c r="I6" s="323" t="str">
        <f>IF($C6=0," ",IF(G6=0," ",IF(H6&gt;0.2,"ERRORE","OK")))</f>
        <v xml:space="preserve"> </v>
      </c>
      <c r="J6" s="358" t="str">
        <f>IF(OR(F6="ERRORE",I6="ERRORE"),"ERRORE","OK")</f>
        <v>OK</v>
      </c>
    </row>
    <row r="7" spans="1:13" ht="13.2">
      <c r="A7" s="139" t="str">
        <f>'t1'!A7</f>
        <v>SEGRETARIO B</v>
      </c>
      <c r="B7" s="318" t="str">
        <f>'t1'!B7</f>
        <v>0D0103</v>
      </c>
      <c r="C7" s="337">
        <f>'t13'!W7</f>
        <v>4220</v>
      </c>
      <c r="D7" s="337">
        <f>'t13'!T7</f>
        <v>0</v>
      </c>
      <c r="E7" s="339" t="str">
        <f t="shared" ref="E7:E49" si="0">IF($C7=0," ",IF(D7=0," ",D7/$C7))</f>
        <v xml:space="preserve"> </v>
      </c>
      <c r="F7" s="323" t="str">
        <f t="shared" ref="F7:F49" si="1">IF($C7=0," ",IF(D7=0," ",IF(E7&gt;0.2,"ERRORE","OK")))</f>
        <v xml:space="preserve"> </v>
      </c>
      <c r="G7" s="337">
        <f>'t13'!U7</f>
        <v>0</v>
      </c>
      <c r="H7" s="339" t="str">
        <f t="shared" ref="H7:H49" si="2">IF($C7=0," ",IF(G7=0," ",G7/$C7))</f>
        <v xml:space="preserve"> </v>
      </c>
      <c r="I7" s="323" t="str">
        <f t="shared" ref="I7:I49" si="3">IF($C7=0," ",IF(G7=0," ",IF(H7&gt;0.2,"ERRORE","OK")))</f>
        <v xml:space="preserve"> </v>
      </c>
      <c r="J7" s="358" t="str">
        <f t="shared" ref="J7:J49" si="4">IF(OR(F7="ERRORE",I7="ERRORE"),"ERRORE","OK")</f>
        <v>OK</v>
      </c>
    </row>
    <row r="8" spans="1:13" ht="13.2">
      <c r="A8" s="139" t="str">
        <f>'t1'!A8</f>
        <v>SEGRETARIO C</v>
      </c>
      <c r="B8" s="318" t="str">
        <f>'t1'!B8</f>
        <v>0D0485</v>
      </c>
      <c r="C8" s="337">
        <f>'t13'!W8</f>
        <v>0</v>
      </c>
      <c r="D8" s="337">
        <f>'t13'!T8</f>
        <v>0</v>
      </c>
      <c r="E8" s="339" t="str">
        <f t="shared" si="0"/>
        <v xml:space="preserve"> </v>
      </c>
      <c r="F8" s="323" t="str">
        <f t="shared" si="1"/>
        <v xml:space="preserve"> </v>
      </c>
      <c r="G8" s="337">
        <f>'t13'!U8</f>
        <v>0</v>
      </c>
      <c r="H8" s="339" t="str">
        <f t="shared" si="2"/>
        <v xml:space="preserve"> </v>
      </c>
      <c r="I8" s="323" t="str">
        <f t="shared" si="3"/>
        <v xml:space="preserve"> </v>
      </c>
      <c r="J8" s="358" t="str">
        <f t="shared" si="4"/>
        <v>OK</v>
      </c>
    </row>
    <row r="9" spans="1:13" ht="13.2">
      <c r="A9" s="139" t="str">
        <f>'t1'!A9</f>
        <v>SEGRETARIO GENERALE CCIAA</v>
      </c>
      <c r="B9" s="318" t="str">
        <f>'t1'!B9</f>
        <v>0D0104</v>
      </c>
      <c r="C9" s="337">
        <f>'t13'!W9</f>
        <v>0</v>
      </c>
      <c r="D9" s="337">
        <f>'t13'!T9</f>
        <v>0</v>
      </c>
      <c r="E9" s="339" t="str">
        <f t="shared" si="0"/>
        <v xml:space="preserve"> </v>
      </c>
      <c r="F9" s="323" t="str">
        <f t="shared" si="1"/>
        <v xml:space="preserve"> </v>
      </c>
      <c r="G9" s="337">
        <f>'t13'!U9</f>
        <v>0</v>
      </c>
      <c r="H9" s="339" t="str">
        <f t="shared" si="2"/>
        <v xml:space="preserve"> </v>
      </c>
      <c r="I9" s="323" t="str">
        <f t="shared" si="3"/>
        <v xml:space="preserve"> </v>
      </c>
      <c r="J9" s="358" t="str">
        <f t="shared" si="4"/>
        <v>OK</v>
      </c>
    </row>
    <row r="10" spans="1:13" ht="13.2">
      <c r="A10" s="139" t="str">
        <f>'t1'!A10</f>
        <v>DIRETTORE  GENERALE</v>
      </c>
      <c r="B10" s="318" t="str">
        <f>'t1'!B10</f>
        <v>0D0097</v>
      </c>
      <c r="C10" s="337">
        <f>'t13'!W10</f>
        <v>0</v>
      </c>
      <c r="D10" s="337">
        <f>'t13'!T10</f>
        <v>0</v>
      </c>
      <c r="E10" s="339" t="str">
        <f t="shared" si="0"/>
        <v xml:space="preserve"> </v>
      </c>
      <c r="F10" s="323" t="str">
        <f t="shared" si="1"/>
        <v xml:space="preserve"> </v>
      </c>
      <c r="G10" s="337">
        <f>'t13'!U10</f>
        <v>0</v>
      </c>
      <c r="H10" s="339" t="str">
        <f t="shared" si="2"/>
        <v xml:space="preserve"> </v>
      </c>
      <c r="I10" s="323" t="str">
        <f t="shared" si="3"/>
        <v xml:space="preserve"> </v>
      </c>
      <c r="J10" s="358" t="str">
        <f t="shared" si="4"/>
        <v>OK</v>
      </c>
    </row>
    <row r="11" spans="1:13" ht="13.2">
      <c r="A11" s="139" t="str">
        <f>'t1'!A11</f>
        <v>DIRIGENTE FUORI D.O. art.110 c.2 TUEL</v>
      </c>
      <c r="B11" s="318" t="str">
        <f>'t1'!B11</f>
        <v>0D0098</v>
      </c>
      <c r="C11" s="337">
        <f>'t13'!W11</f>
        <v>0</v>
      </c>
      <c r="D11" s="337">
        <f>'t13'!T11</f>
        <v>0</v>
      </c>
      <c r="E11" s="339" t="str">
        <f t="shared" si="0"/>
        <v xml:space="preserve"> </v>
      </c>
      <c r="F11" s="323" t="str">
        <f t="shared" si="1"/>
        <v xml:space="preserve"> </v>
      </c>
      <c r="G11" s="337">
        <f>'t13'!U11</f>
        <v>0</v>
      </c>
      <c r="H11" s="339" t="str">
        <f t="shared" si="2"/>
        <v xml:space="preserve"> </v>
      </c>
      <c r="I11" s="323" t="str">
        <f t="shared" si="3"/>
        <v xml:space="preserve"> </v>
      </c>
      <c r="J11" s="358" t="str">
        <f t="shared" si="4"/>
        <v>OK</v>
      </c>
    </row>
    <row r="12" spans="1:13" ht="13.2">
      <c r="A12" s="139" t="str">
        <f>'t1'!A12</f>
        <v>ALTE SPECIALIZZ. FUORI D.O.art.110 c.2 TUEL</v>
      </c>
      <c r="B12" s="318" t="str">
        <f>'t1'!B12</f>
        <v>0D0095</v>
      </c>
      <c r="C12" s="337">
        <f>'t13'!W12</f>
        <v>0</v>
      </c>
      <c r="D12" s="337">
        <f>'t13'!T12</f>
        <v>0</v>
      </c>
      <c r="E12" s="339" t="str">
        <f t="shared" si="0"/>
        <v xml:space="preserve"> </v>
      </c>
      <c r="F12" s="323" t="str">
        <f t="shared" si="1"/>
        <v xml:space="preserve"> </v>
      </c>
      <c r="G12" s="337">
        <f>'t13'!U12</f>
        <v>0</v>
      </c>
      <c r="H12" s="339" t="str">
        <f t="shared" si="2"/>
        <v xml:space="preserve"> </v>
      </c>
      <c r="I12" s="323" t="str">
        <f t="shared" si="3"/>
        <v xml:space="preserve"> </v>
      </c>
      <c r="J12" s="358" t="str">
        <f t="shared" si="4"/>
        <v>OK</v>
      </c>
    </row>
    <row r="13" spans="1:13" ht="13.2">
      <c r="A13" s="139" t="str">
        <f>'t1'!A13</f>
        <v>DIRIGENTE A TEMPO INDETERMINATO</v>
      </c>
      <c r="B13" s="318" t="str">
        <f>'t1'!B13</f>
        <v>0D0164</v>
      </c>
      <c r="C13" s="337">
        <f>'t13'!W13</f>
        <v>0</v>
      </c>
      <c r="D13" s="337">
        <f>'t13'!T13</f>
        <v>0</v>
      </c>
      <c r="E13" s="339" t="str">
        <f t="shared" si="0"/>
        <v xml:space="preserve"> </v>
      </c>
      <c r="F13" s="323" t="str">
        <f t="shared" si="1"/>
        <v xml:space="preserve"> </v>
      </c>
      <c r="G13" s="337">
        <f>'t13'!U13</f>
        <v>0</v>
      </c>
      <c r="H13" s="339" t="str">
        <f t="shared" si="2"/>
        <v xml:space="preserve"> </v>
      </c>
      <c r="I13" s="323" t="str">
        <f t="shared" si="3"/>
        <v xml:space="preserve"> </v>
      </c>
      <c r="J13" s="358" t="str">
        <f t="shared" si="4"/>
        <v>OK</v>
      </c>
    </row>
    <row r="14" spans="1:13" ht="13.2">
      <c r="A14" s="139" t="str">
        <f>'t1'!A14</f>
        <v>DIRIGENTE A TEMPO DET.TO  ART.110 C.1 TUEL</v>
      </c>
      <c r="B14" s="318" t="str">
        <f>'t1'!B14</f>
        <v>0D0165</v>
      </c>
      <c r="C14" s="337">
        <f>'t13'!W14</f>
        <v>0</v>
      </c>
      <c r="D14" s="337">
        <f>'t13'!T14</f>
        <v>0</v>
      </c>
      <c r="E14" s="339" t="str">
        <f t="shared" si="0"/>
        <v xml:space="preserve"> </v>
      </c>
      <c r="F14" s="323" t="str">
        <f t="shared" si="1"/>
        <v xml:space="preserve"> </v>
      </c>
      <c r="G14" s="337">
        <f>'t13'!U14</f>
        <v>0</v>
      </c>
      <c r="H14" s="339" t="str">
        <f t="shared" si="2"/>
        <v xml:space="preserve"> </v>
      </c>
      <c r="I14" s="323" t="str">
        <f t="shared" si="3"/>
        <v xml:space="preserve"> </v>
      </c>
      <c r="J14" s="358" t="str">
        <f t="shared" si="4"/>
        <v>OK</v>
      </c>
    </row>
    <row r="15" spans="1:13" ht="13.2">
      <c r="A15" s="139" t="str">
        <f>'t1'!A15</f>
        <v>ALTE SPECIALIZZ. IN D.O. art.110 c.1 TUEL</v>
      </c>
      <c r="B15" s="318" t="str">
        <f>'t1'!B15</f>
        <v>0D0I95</v>
      </c>
      <c r="C15" s="337">
        <f>'t13'!W15</f>
        <v>0</v>
      </c>
      <c r="D15" s="337">
        <f>'t13'!T15</f>
        <v>0</v>
      </c>
      <c r="E15" s="339" t="str">
        <f t="shared" si="0"/>
        <v xml:space="preserve"> </v>
      </c>
      <c r="F15" s="323" t="str">
        <f t="shared" si="1"/>
        <v xml:space="preserve"> </v>
      </c>
      <c r="G15" s="337">
        <f>'t13'!U15</f>
        <v>0</v>
      </c>
      <c r="H15" s="339" t="str">
        <f t="shared" si="2"/>
        <v xml:space="preserve"> </v>
      </c>
      <c r="I15" s="323" t="str">
        <f t="shared" si="3"/>
        <v xml:space="preserve"> </v>
      </c>
      <c r="J15" s="358" t="str">
        <f t="shared" si="4"/>
        <v>OK</v>
      </c>
    </row>
    <row r="16" spans="1:13" ht="13.2">
      <c r="A16" s="139" t="str">
        <f>'t1'!A16</f>
        <v>POSIZ. ECON. D6 - PROFILI ACCESSO D3</v>
      </c>
      <c r="B16" s="318" t="str">
        <f>'t1'!B16</f>
        <v>0D6A00</v>
      </c>
      <c r="C16" s="337">
        <f>'t13'!W16</f>
        <v>0</v>
      </c>
      <c r="D16" s="337">
        <f>'t13'!T16</f>
        <v>0</v>
      </c>
      <c r="E16" s="339" t="str">
        <f t="shared" si="0"/>
        <v xml:space="preserve"> </v>
      </c>
      <c r="F16" s="323" t="str">
        <f t="shared" si="1"/>
        <v xml:space="preserve"> </v>
      </c>
      <c r="G16" s="337">
        <f>'t13'!U16</f>
        <v>0</v>
      </c>
      <c r="H16" s="339" t="str">
        <f t="shared" si="2"/>
        <v xml:space="preserve"> </v>
      </c>
      <c r="I16" s="323" t="str">
        <f t="shared" si="3"/>
        <v xml:space="preserve"> </v>
      </c>
      <c r="J16" s="358" t="str">
        <f t="shared" si="4"/>
        <v>OK</v>
      </c>
    </row>
    <row r="17" spans="1:10" ht="13.2">
      <c r="A17" s="139" t="str">
        <f>'t1'!A17</f>
        <v>POSIZ. ECON. D6 - PROFILO ACCESSO D1</v>
      </c>
      <c r="B17" s="318" t="str">
        <f>'t1'!B17</f>
        <v>0D6000</v>
      </c>
      <c r="C17" s="337">
        <f>'t13'!W17</f>
        <v>0</v>
      </c>
      <c r="D17" s="337">
        <f>'t13'!T17</f>
        <v>0</v>
      </c>
      <c r="E17" s="339" t="str">
        <f t="shared" si="0"/>
        <v xml:space="preserve"> </v>
      </c>
      <c r="F17" s="323" t="str">
        <f t="shared" si="1"/>
        <v xml:space="preserve"> </v>
      </c>
      <c r="G17" s="337">
        <f>'t13'!U17</f>
        <v>0</v>
      </c>
      <c r="H17" s="339" t="str">
        <f t="shared" si="2"/>
        <v xml:space="preserve"> </v>
      </c>
      <c r="I17" s="323" t="str">
        <f t="shared" si="3"/>
        <v xml:space="preserve"> </v>
      </c>
      <c r="J17" s="358" t="str">
        <f t="shared" si="4"/>
        <v>OK</v>
      </c>
    </row>
    <row r="18" spans="1:10" ht="13.2">
      <c r="A18" s="139" t="str">
        <f>'t1'!A18</f>
        <v>POSIZ. ECON. D5 PROFILI ACCESSO D3</v>
      </c>
      <c r="B18" s="318" t="str">
        <f>'t1'!B18</f>
        <v>052486</v>
      </c>
      <c r="C18" s="337">
        <f>'t13'!W18</f>
        <v>0</v>
      </c>
      <c r="D18" s="337">
        <f>'t13'!T18</f>
        <v>0</v>
      </c>
      <c r="E18" s="339" t="str">
        <f t="shared" si="0"/>
        <v xml:space="preserve"> </v>
      </c>
      <c r="F18" s="323" t="str">
        <f t="shared" si="1"/>
        <v xml:space="preserve"> </v>
      </c>
      <c r="G18" s="337">
        <f>'t13'!U18</f>
        <v>0</v>
      </c>
      <c r="H18" s="339" t="str">
        <f t="shared" si="2"/>
        <v xml:space="preserve"> </v>
      </c>
      <c r="I18" s="323" t="str">
        <f t="shared" si="3"/>
        <v xml:space="preserve"> </v>
      </c>
      <c r="J18" s="358" t="str">
        <f t="shared" si="4"/>
        <v>OK</v>
      </c>
    </row>
    <row r="19" spans="1:10" ht="13.2">
      <c r="A19" s="139" t="str">
        <f>'t1'!A19</f>
        <v>POSIZ. ECON. D5 PROFILI ACCESSO D1</v>
      </c>
      <c r="B19" s="318" t="str">
        <f>'t1'!B19</f>
        <v>052487</v>
      </c>
      <c r="C19" s="337">
        <f>'t13'!W19</f>
        <v>0</v>
      </c>
      <c r="D19" s="337">
        <f>'t13'!T19</f>
        <v>0</v>
      </c>
      <c r="E19" s="339" t="str">
        <f t="shared" si="0"/>
        <v xml:space="preserve"> </v>
      </c>
      <c r="F19" s="323" t="str">
        <f t="shared" si="1"/>
        <v xml:space="preserve"> </v>
      </c>
      <c r="G19" s="337">
        <f>'t13'!U19</f>
        <v>0</v>
      </c>
      <c r="H19" s="339" t="str">
        <f t="shared" si="2"/>
        <v xml:space="preserve"> </v>
      </c>
      <c r="I19" s="323" t="str">
        <f t="shared" si="3"/>
        <v xml:space="preserve"> </v>
      </c>
      <c r="J19" s="358" t="str">
        <f t="shared" si="4"/>
        <v>OK</v>
      </c>
    </row>
    <row r="20" spans="1:10" ht="13.2">
      <c r="A20" s="139" t="str">
        <f>'t1'!A20</f>
        <v>POSIZ. ECON. D4 PROFILI ACCESSO D3</v>
      </c>
      <c r="B20" s="318" t="str">
        <f>'t1'!B20</f>
        <v>051488</v>
      </c>
      <c r="C20" s="337">
        <f>'t13'!W20</f>
        <v>0</v>
      </c>
      <c r="D20" s="337">
        <f>'t13'!T20</f>
        <v>0</v>
      </c>
      <c r="E20" s="339" t="str">
        <f t="shared" si="0"/>
        <v xml:space="preserve"> </v>
      </c>
      <c r="F20" s="323" t="str">
        <f t="shared" si="1"/>
        <v xml:space="preserve"> </v>
      </c>
      <c r="G20" s="337">
        <f>'t13'!U20</f>
        <v>0</v>
      </c>
      <c r="H20" s="339" t="str">
        <f t="shared" si="2"/>
        <v xml:space="preserve"> </v>
      </c>
      <c r="I20" s="323" t="str">
        <f t="shared" si="3"/>
        <v xml:space="preserve"> </v>
      </c>
      <c r="J20" s="358" t="str">
        <f t="shared" si="4"/>
        <v>OK</v>
      </c>
    </row>
    <row r="21" spans="1:10" ht="13.2">
      <c r="A21" s="139" t="str">
        <f>'t1'!A21</f>
        <v>POSIZ. ECON. D4 PROFILI ACCESSO D1</v>
      </c>
      <c r="B21" s="318" t="str">
        <f>'t1'!B21</f>
        <v>051489</v>
      </c>
      <c r="C21" s="337">
        <f>'t13'!W21</f>
        <v>0</v>
      </c>
      <c r="D21" s="337">
        <f>'t13'!T21</f>
        <v>0</v>
      </c>
      <c r="E21" s="339" t="str">
        <f t="shared" si="0"/>
        <v xml:space="preserve"> </v>
      </c>
      <c r="F21" s="323" t="str">
        <f t="shared" si="1"/>
        <v xml:space="preserve"> </v>
      </c>
      <c r="G21" s="337">
        <f>'t13'!U21</f>
        <v>0</v>
      </c>
      <c r="H21" s="339" t="str">
        <f t="shared" si="2"/>
        <v xml:space="preserve"> </v>
      </c>
      <c r="I21" s="323" t="str">
        <f t="shared" si="3"/>
        <v xml:space="preserve"> </v>
      </c>
      <c r="J21" s="358" t="str">
        <f t="shared" si="4"/>
        <v>OK</v>
      </c>
    </row>
    <row r="22" spans="1:10" ht="13.2">
      <c r="A22" s="139" t="str">
        <f>'t1'!A22</f>
        <v>POSIZIONE ECONOMICA DI ACCESSO D3</v>
      </c>
      <c r="B22" s="318" t="str">
        <f>'t1'!B22</f>
        <v>058000</v>
      </c>
      <c r="C22" s="337">
        <f>'t13'!W22</f>
        <v>0</v>
      </c>
      <c r="D22" s="337">
        <f>'t13'!T22</f>
        <v>0</v>
      </c>
      <c r="E22" s="339" t="str">
        <f t="shared" si="0"/>
        <v xml:space="preserve"> </v>
      </c>
      <c r="F22" s="323" t="str">
        <f t="shared" si="1"/>
        <v xml:space="preserve"> </v>
      </c>
      <c r="G22" s="337">
        <f>'t13'!U22</f>
        <v>0</v>
      </c>
      <c r="H22" s="339" t="str">
        <f t="shared" si="2"/>
        <v xml:space="preserve"> </v>
      </c>
      <c r="I22" s="323" t="str">
        <f t="shared" si="3"/>
        <v xml:space="preserve"> </v>
      </c>
      <c r="J22" s="358" t="str">
        <f t="shared" si="4"/>
        <v>OK</v>
      </c>
    </row>
    <row r="23" spans="1:10" ht="13.2">
      <c r="A23" s="139" t="str">
        <f>'t1'!A23</f>
        <v>POSIZIONE ECONOMICA D3</v>
      </c>
      <c r="B23" s="318" t="str">
        <f>'t1'!B23</f>
        <v>050000</v>
      </c>
      <c r="C23" s="337">
        <f>'t13'!W23</f>
        <v>0</v>
      </c>
      <c r="D23" s="337">
        <f>'t13'!T23</f>
        <v>0</v>
      </c>
      <c r="E23" s="339" t="str">
        <f t="shared" si="0"/>
        <v xml:space="preserve"> </v>
      </c>
      <c r="F23" s="323" t="str">
        <f t="shared" si="1"/>
        <v xml:space="preserve"> </v>
      </c>
      <c r="G23" s="337">
        <f>'t13'!U23</f>
        <v>0</v>
      </c>
      <c r="H23" s="339" t="str">
        <f t="shared" si="2"/>
        <v xml:space="preserve"> </v>
      </c>
      <c r="I23" s="323" t="str">
        <f t="shared" si="3"/>
        <v xml:space="preserve"> </v>
      </c>
      <c r="J23" s="358" t="str">
        <f t="shared" si="4"/>
        <v>OK</v>
      </c>
    </row>
    <row r="24" spans="1:10" ht="13.2">
      <c r="A24" s="139" t="str">
        <f>'t1'!A24</f>
        <v>POSIZIONE ECONOMICA D2</v>
      </c>
      <c r="B24" s="318" t="str">
        <f>'t1'!B24</f>
        <v>049000</v>
      </c>
      <c r="C24" s="337">
        <f>'t13'!W24</f>
        <v>6956</v>
      </c>
      <c r="D24" s="337">
        <f>'t13'!T24</f>
        <v>0</v>
      </c>
      <c r="E24" s="339" t="str">
        <f t="shared" si="0"/>
        <v xml:space="preserve"> </v>
      </c>
      <c r="F24" s="323" t="str">
        <f t="shared" si="1"/>
        <v xml:space="preserve"> </v>
      </c>
      <c r="G24" s="337">
        <f>'t13'!U24</f>
        <v>0</v>
      </c>
      <c r="H24" s="339" t="str">
        <f t="shared" si="2"/>
        <v xml:space="preserve"> </v>
      </c>
      <c r="I24" s="323" t="str">
        <f t="shared" si="3"/>
        <v xml:space="preserve"> </v>
      </c>
      <c r="J24" s="358" t="str">
        <f t="shared" si="4"/>
        <v>OK</v>
      </c>
    </row>
    <row r="25" spans="1:10" ht="13.2">
      <c r="A25" s="139" t="str">
        <f>'t1'!A25</f>
        <v>POSIZIONE ECONOMICA DI ACCESSO D1</v>
      </c>
      <c r="B25" s="318" t="str">
        <f>'t1'!B25</f>
        <v>057000</v>
      </c>
      <c r="C25" s="337">
        <f>'t13'!W25</f>
        <v>60</v>
      </c>
      <c r="D25" s="337">
        <f>'t13'!T25</f>
        <v>0</v>
      </c>
      <c r="E25" s="339" t="str">
        <f t="shared" si="0"/>
        <v xml:space="preserve"> </v>
      </c>
      <c r="F25" s="323" t="str">
        <f t="shared" si="1"/>
        <v xml:space="preserve"> </v>
      </c>
      <c r="G25" s="337">
        <f>'t13'!U25</f>
        <v>0</v>
      </c>
      <c r="H25" s="339" t="str">
        <f t="shared" si="2"/>
        <v xml:space="preserve"> </v>
      </c>
      <c r="I25" s="323" t="str">
        <f t="shared" si="3"/>
        <v xml:space="preserve"> </v>
      </c>
      <c r="J25" s="358" t="str">
        <f t="shared" si="4"/>
        <v>OK</v>
      </c>
    </row>
    <row r="26" spans="1:10" ht="13.2">
      <c r="A26" s="139" t="str">
        <f>'t1'!A26</f>
        <v>POSIZIONE ECONOMICA C5</v>
      </c>
      <c r="B26" s="318" t="str">
        <f>'t1'!B26</f>
        <v>046000</v>
      </c>
      <c r="C26" s="337">
        <f>'t13'!W26</f>
        <v>0</v>
      </c>
      <c r="D26" s="337">
        <f>'t13'!T26</f>
        <v>0</v>
      </c>
      <c r="E26" s="339" t="str">
        <f t="shared" si="0"/>
        <v xml:space="preserve"> </v>
      </c>
      <c r="F26" s="323" t="str">
        <f t="shared" si="1"/>
        <v xml:space="preserve"> </v>
      </c>
      <c r="G26" s="337">
        <f>'t13'!U26</f>
        <v>0</v>
      </c>
      <c r="H26" s="339" t="str">
        <f t="shared" si="2"/>
        <v xml:space="preserve"> </v>
      </c>
      <c r="I26" s="323" t="str">
        <f t="shared" si="3"/>
        <v xml:space="preserve"> </v>
      </c>
      <c r="J26" s="358" t="str">
        <f t="shared" si="4"/>
        <v>OK</v>
      </c>
    </row>
    <row r="27" spans="1:10" ht="13.2">
      <c r="A27" s="139" t="str">
        <f>'t1'!A27</f>
        <v>POSIZIONE ECONOMICA C4</v>
      </c>
      <c r="B27" s="318" t="str">
        <f>'t1'!B27</f>
        <v>045000</v>
      </c>
      <c r="C27" s="337">
        <f>'t13'!W27</f>
        <v>0</v>
      </c>
      <c r="D27" s="337">
        <f>'t13'!T27</f>
        <v>0</v>
      </c>
      <c r="E27" s="339" t="str">
        <f t="shared" si="0"/>
        <v xml:space="preserve"> </v>
      </c>
      <c r="F27" s="323" t="str">
        <f t="shared" si="1"/>
        <v xml:space="preserve"> </v>
      </c>
      <c r="G27" s="337">
        <f>'t13'!U27</f>
        <v>0</v>
      </c>
      <c r="H27" s="339" t="str">
        <f t="shared" si="2"/>
        <v xml:space="preserve"> </v>
      </c>
      <c r="I27" s="323" t="str">
        <f t="shared" si="3"/>
        <v xml:space="preserve"> </v>
      </c>
      <c r="J27" s="358" t="str">
        <f t="shared" si="4"/>
        <v>OK</v>
      </c>
    </row>
    <row r="28" spans="1:10" ht="13.2">
      <c r="A28" s="139" t="str">
        <f>'t1'!A28</f>
        <v>POSIZIONE ECONOMICA C3</v>
      </c>
      <c r="B28" s="318" t="str">
        <f>'t1'!B28</f>
        <v>043000</v>
      </c>
      <c r="C28" s="337">
        <f>'t13'!W28</f>
        <v>0</v>
      </c>
      <c r="D28" s="337">
        <f>'t13'!T28</f>
        <v>0</v>
      </c>
      <c r="E28" s="339" t="str">
        <f t="shared" si="0"/>
        <v xml:space="preserve"> </v>
      </c>
      <c r="F28" s="323" t="str">
        <f t="shared" si="1"/>
        <v xml:space="preserve"> </v>
      </c>
      <c r="G28" s="337">
        <f>'t13'!U28</f>
        <v>0</v>
      </c>
      <c r="H28" s="339" t="str">
        <f t="shared" si="2"/>
        <v xml:space="preserve"> </v>
      </c>
      <c r="I28" s="323" t="str">
        <f t="shared" si="3"/>
        <v xml:space="preserve"> </v>
      </c>
      <c r="J28" s="358" t="str">
        <f t="shared" si="4"/>
        <v>OK</v>
      </c>
    </row>
    <row r="29" spans="1:10" ht="13.2">
      <c r="A29" s="139" t="str">
        <f>'t1'!A29</f>
        <v>POSIZIONE ECONOMICA C2</v>
      </c>
      <c r="B29" s="318" t="str">
        <f>'t1'!B29</f>
        <v>042000</v>
      </c>
      <c r="C29" s="337">
        <f>'t13'!W29</f>
        <v>2017</v>
      </c>
      <c r="D29" s="337">
        <f>'t13'!T29</f>
        <v>0</v>
      </c>
      <c r="E29" s="339" t="str">
        <f t="shared" si="0"/>
        <v xml:space="preserve"> </v>
      </c>
      <c r="F29" s="323" t="str">
        <f t="shared" si="1"/>
        <v xml:space="preserve"> </v>
      </c>
      <c r="G29" s="337">
        <f>'t13'!U29</f>
        <v>0</v>
      </c>
      <c r="H29" s="339" t="str">
        <f t="shared" si="2"/>
        <v xml:space="preserve"> </v>
      </c>
      <c r="I29" s="323" t="str">
        <f t="shared" si="3"/>
        <v xml:space="preserve"> </v>
      </c>
      <c r="J29" s="358" t="str">
        <f t="shared" si="4"/>
        <v>OK</v>
      </c>
    </row>
    <row r="30" spans="1:10" ht="13.2">
      <c r="A30" s="139" t="str">
        <f>'t1'!A30</f>
        <v>POSIZIONE ECONOMICA DI ACCESSO C1</v>
      </c>
      <c r="B30" s="318" t="str">
        <f>'t1'!B30</f>
        <v>056000</v>
      </c>
      <c r="C30" s="337">
        <f>'t13'!W30</f>
        <v>1139</v>
      </c>
      <c r="D30" s="337">
        <f>'t13'!T30</f>
        <v>0</v>
      </c>
      <c r="E30" s="339" t="str">
        <f t="shared" si="0"/>
        <v xml:space="preserve"> </v>
      </c>
      <c r="F30" s="323" t="str">
        <f t="shared" si="1"/>
        <v xml:space="preserve"> </v>
      </c>
      <c r="G30" s="337">
        <f>'t13'!U30</f>
        <v>0</v>
      </c>
      <c r="H30" s="339" t="str">
        <f t="shared" si="2"/>
        <v xml:space="preserve"> </v>
      </c>
      <c r="I30" s="323" t="str">
        <f t="shared" si="3"/>
        <v xml:space="preserve"> </v>
      </c>
      <c r="J30" s="358" t="str">
        <f t="shared" si="4"/>
        <v>OK</v>
      </c>
    </row>
    <row r="31" spans="1:10" ht="13.2">
      <c r="A31" s="139" t="str">
        <f>'t1'!A31</f>
        <v>POSIZ. ECON. B7 - PROFILO ACCESSO B3</v>
      </c>
      <c r="B31" s="318" t="str">
        <f>'t1'!B31</f>
        <v>0B7A00</v>
      </c>
      <c r="C31" s="337">
        <f>'t13'!W31</f>
        <v>0</v>
      </c>
      <c r="D31" s="337">
        <f>'t13'!T31</f>
        <v>0</v>
      </c>
      <c r="E31" s="339" t="str">
        <f t="shared" si="0"/>
        <v xml:space="preserve"> </v>
      </c>
      <c r="F31" s="323" t="str">
        <f t="shared" si="1"/>
        <v xml:space="preserve"> </v>
      </c>
      <c r="G31" s="337">
        <f>'t13'!U31</f>
        <v>0</v>
      </c>
      <c r="H31" s="339" t="str">
        <f t="shared" si="2"/>
        <v xml:space="preserve"> </v>
      </c>
      <c r="I31" s="323" t="str">
        <f t="shared" si="3"/>
        <v xml:space="preserve"> </v>
      </c>
      <c r="J31" s="358" t="str">
        <f t="shared" si="4"/>
        <v>OK</v>
      </c>
    </row>
    <row r="32" spans="1:10" ht="13.2">
      <c r="A32" s="139" t="str">
        <f>'t1'!A32</f>
        <v>POSIZ. ECON. B7 - PROFILO  ACCESSO B1</v>
      </c>
      <c r="B32" s="318" t="str">
        <f>'t1'!B32</f>
        <v>0B7000</v>
      </c>
      <c r="C32" s="337">
        <f>'t13'!W32</f>
        <v>0</v>
      </c>
      <c r="D32" s="337">
        <f>'t13'!T32</f>
        <v>0</v>
      </c>
      <c r="E32" s="339" t="str">
        <f t="shared" si="0"/>
        <v xml:space="preserve"> </v>
      </c>
      <c r="F32" s="323" t="str">
        <f t="shared" si="1"/>
        <v xml:space="preserve"> </v>
      </c>
      <c r="G32" s="337">
        <f>'t13'!U32</f>
        <v>0</v>
      </c>
      <c r="H32" s="339" t="str">
        <f t="shared" si="2"/>
        <v xml:space="preserve"> </v>
      </c>
      <c r="I32" s="323" t="str">
        <f t="shared" si="3"/>
        <v xml:space="preserve"> </v>
      </c>
      <c r="J32" s="358" t="str">
        <f t="shared" si="4"/>
        <v>OK</v>
      </c>
    </row>
    <row r="33" spans="1:10" ht="13.2">
      <c r="A33" s="139" t="str">
        <f>'t1'!A33</f>
        <v>POSIZ. ECON. B6 PROFILI ACCESSO B3</v>
      </c>
      <c r="B33" s="318" t="str">
        <f>'t1'!B33</f>
        <v>038490</v>
      </c>
      <c r="C33" s="337">
        <f>'t13'!W33</f>
        <v>0</v>
      </c>
      <c r="D33" s="337">
        <f>'t13'!T33</f>
        <v>0</v>
      </c>
      <c r="E33" s="339" t="str">
        <f t="shared" si="0"/>
        <v xml:space="preserve"> </v>
      </c>
      <c r="F33" s="323" t="str">
        <f t="shared" si="1"/>
        <v xml:space="preserve"> </v>
      </c>
      <c r="G33" s="337">
        <f>'t13'!U33</f>
        <v>0</v>
      </c>
      <c r="H33" s="339" t="str">
        <f t="shared" si="2"/>
        <v xml:space="preserve"> </v>
      </c>
      <c r="I33" s="323" t="str">
        <f t="shared" si="3"/>
        <v xml:space="preserve"> </v>
      </c>
      <c r="J33" s="358" t="str">
        <f t="shared" si="4"/>
        <v>OK</v>
      </c>
    </row>
    <row r="34" spans="1:10" ht="13.2">
      <c r="A34" s="139" t="str">
        <f>'t1'!A34</f>
        <v>POSIZ. ECON. B6 PROFILI ACCESSO B1</v>
      </c>
      <c r="B34" s="318" t="str">
        <f>'t1'!B34</f>
        <v>038491</v>
      </c>
      <c r="C34" s="337">
        <f>'t13'!W34</f>
        <v>0</v>
      </c>
      <c r="D34" s="337">
        <f>'t13'!T34</f>
        <v>0</v>
      </c>
      <c r="E34" s="339" t="str">
        <f t="shared" si="0"/>
        <v xml:space="preserve"> </v>
      </c>
      <c r="F34" s="323" t="str">
        <f t="shared" si="1"/>
        <v xml:space="preserve"> </v>
      </c>
      <c r="G34" s="337">
        <f>'t13'!U34</f>
        <v>0</v>
      </c>
      <c r="H34" s="339" t="str">
        <f t="shared" si="2"/>
        <v xml:space="preserve"> </v>
      </c>
      <c r="I34" s="323" t="str">
        <f t="shared" si="3"/>
        <v xml:space="preserve"> </v>
      </c>
      <c r="J34" s="358" t="str">
        <f t="shared" si="4"/>
        <v>OK</v>
      </c>
    </row>
    <row r="35" spans="1:10" ht="13.2">
      <c r="A35" s="139" t="str">
        <f>'t1'!A35</f>
        <v>POSIZ. ECON. B5 PROFILI ACCESSO B3</v>
      </c>
      <c r="B35" s="318" t="str">
        <f>'t1'!B35</f>
        <v>037492</v>
      </c>
      <c r="C35" s="337">
        <f>'t13'!W35</f>
        <v>0</v>
      </c>
      <c r="D35" s="337">
        <f>'t13'!T35</f>
        <v>0</v>
      </c>
      <c r="E35" s="339" t="str">
        <f t="shared" si="0"/>
        <v xml:space="preserve"> </v>
      </c>
      <c r="F35" s="323" t="str">
        <f t="shared" si="1"/>
        <v xml:space="preserve"> </v>
      </c>
      <c r="G35" s="337">
        <f>'t13'!U35</f>
        <v>0</v>
      </c>
      <c r="H35" s="339" t="str">
        <f t="shared" si="2"/>
        <v xml:space="preserve"> </v>
      </c>
      <c r="I35" s="323" t="str">
        <f t="shared" si="3"/>
        <v xml:space="preserve"> </v>
      </c>
      <c r="J35" s="358" t="str">
        <f t="shared" si="4"/>
        <v>OK</v>
      </c>
    </row>
    <row r="36" spans="1:10" ht="13.2">
      <c r="A36" s="139" t="str">
        <f>'t1'!A36</f>
        <v>POSIZ. ECON. B5 PROFILI ACCESSO B1</v>
      </c>
      <c r="B36" s="318" t="str">
        <f>'t1'!B36</f>
        <v>037493</v>
      </c>
      <c r="C36" s="337">
        <f>'t13'!W36</f>
        <v>0</v>
      </c>
      <c r="D36" s="337">
        <f>'t13'!T36</f>
        <v>0</v>
      </c>
      <c r="E36" s="339" t="str">
        <f t="shared" si="0"/>
        <v xml:space="preserve"> </v>
      </c>
      <c r="F36" s="323" t="str">
        <f t="shared" si="1"/>
        <v xml:space="preserve"> </v>
      </c>
      <c r="G36" s="337">
        <f>'t13'!U36</f>
        <v>0</v>
      </c>
      <c r="H36" s="339" t="str">
        <f t="shared" si="2"/>
        <v xml:space="preserve"> </v>
      </c>
      <c r="I36" s="323" t="str">
        <f t="shared" si="3"/>
        <v xml:space="preserve"> </v>
      </c>
      <c r="J36" s="358" t="str">
        <f t="shared" si="4"/>
        <v>OK</v>
      </c>
    </row>
    <row r="37" spans="1:10" ht="13.2">
      <c r="A37" s="139" t="str">
        <f>'t1'!A37</f>
        <v>POSIZ. ECON. B4 PROFILI ACCESSO B3</v>
      </c>
      <c r="B37" s="318" t="str">
        <f>'t1'!B37</f>
        <v>036494</v>
      </c>
      <c r="C37" s="337">
        <f>'t13'!W37</f>
        <v>0</v>
      </c>
      <c r="D37" s="337">
        <f>'t13'!T37</f>
        <v>0</v>
      </c>
      <c r="E37" s="339" t="str">
        <f t="shared" si="0"/>
        <v xml:space="preserve"> </v>
      </c>
      <c r="F37" s="323" t="str">
        <f t="shared" si="1"/>
        <v xml:space="preserve"> </v>
      </c>
      <c r="G37" s="337">
        <f>'t13'!U37</f>
        <v>0</v>
      </c>
      <c r="H37" s="339" t="str">
        <f t="shared" si="2"/>
        <v xml:space="preserve"> </v>
      </c>
      <c r="I37" s="323" t="str">
        <f t="shared" si="3"/>
        <v xml:space="preserve"> </v>
      </c>
      <c r="J37" s="358" t="str">
        <f t="shared" si="4"/>
        <v>OK</v>
      </c>
    </row>
    <row r="38" spans="1:10" ht="13.2">
      <c r="A38" s="139" t="str">
        <f>'t1'!A38</f>
        <v>POSIZ. ECON. B4 PROFILI ACCESSO B1</v>
      </c>
      <c r="B38" s="318" t="str">
        <f>'t1'!B38</f>
        <v>036495</v>
      </c>
      <c r="C38" s="337">
        <f>'t13'!W38</f>
        <v>0</v>
      </c>
      <c r="D38" s="337">
        <f>'t13'!T38</f>
        <v>0</v>
      </c>
      <c r="E38" s="339" t="str">
        <f t="shared" si="0"/>
        <v xml:space="preserve"> </v>
      </c>
      <c r="F38" s="323" t="str">
        <f t="shared" si="1"/>
        <v xml:space="preserve"> </v>
      </c>
      <c r="G38" s="337">
        <f>'t13'!U38</f>
        <v>0</v>
      </c>
      <c r="H38" s="339" t="str">
        <f t="shared" si="2"/>
        <v xml:space="preserve"> </v>
      </c>
      <c r="I38" s="323" t="str">
        <f t="shared" si="3"/>
        <v xml:space="preserve"> </v>
      </c>
      <c r="J38" s="358" t="str">
        <f t="shared" si="4"/>
        <v>OK</v>
      </c>
    </row>
    <row r="39" spans="1:10" ht="13.2">
      <c r="A39" s="139" t="str">
        <f>'t1'!A39</f>
        <v>POSIZIONE ECONOMICA DI ACCESSO B3</v>
      </c>
      <c r="B39" s="318" t="str">
        <f>'t1'!B39</f>
        <v>055000</v>
      </c>
      <c r="C39" s="337">
        <f>'t13'!W39</f>
        <v>0</v>
      </c>
      <c r="D39" s="337">
        <f>'t13'!T39</f>
        <v>0</v>
      </c>
      <c r="E39" s="339" t="str">
        <f t="shared" si="0"/>
        <v xml:space="preserve"> </v>
      </c>
      <c r="F39" s="323" t="str">
        <f t="shared" si="1"/>
        <v xml:space="preserve"> </v>
      </c>
      <c r="G39" s="337">
        <f>'t13'!U39</f>
        <v>0</v>
      </c>
      <c r="H39" s="339" t="str">
        <f t="shared" si="2"/>
        <v xml:space="preserve"> </v>
      </c>
      <c r="I39" s="323" t="str">
        <f t="shared" si="3"/>
        <v xml:space="preserve"> </v>
      </c>
      <c r="J39" s="358" t="str">
        <f t="shared" si="4"/>
        <v>OK</v>
      </c>
    </row>
    <row r="40" spans="1:10" ht="13.2">
      <c r="A40" s="139" t="str">
        <f>'t1'!A40</f>
        <v>POSIZIONE ECONOMICA B3</v>
      </c>
      <c r="B40" s="318" t="str">
        <f>'t1'!B40</f>
        <v>034000</v>
      </c>
      <c r="C40" s="337">
        <f>'t13'!W40</f>
        <v>0</v>
      </c>
      <c r="D40" s="337">
        <f>'t13'!T40</f>
        <v>0</v>
      </c>
      <c r="E40" s="339" t="str">
        <f t="shared" si="0"/>
        <v xml:space="preserve"> </v>
      </c>
      <c r="F40" s="323" t="str">
        <f t="shared" si="1"/>
        <v xml:space="preserve"> </v>
      </c>
      <c r="G40" s="337">
        <f>'t13'!U40</f>
        <v>0</v>
      </c>
      <c r="H40" s="339" t="str">
        <f t="shared" si="2"/>
        <v xml:space="preserve"> </v>
      </c>
      <c r="I40" s="323" t="str">
        <f t="shared" si="3"/>
        <v xml:space="preserve"> </v>
      </c>
      <c r="J40" s="358" t="str">
        <f t="shared" si="4"/>
        <v>OK</v>
      </c>
    </row>
    <row r="41" spans="1:10" ht="13.2">
      <c r="A41" s="139" t="str">
        <f>'t1'!A41</f>
        <v>POSIZIONE ECONOMICA B2</v>
      </c>
      <c r="B41" s="318" t="str">
        <f>'t1'!B41</f>
        <v>032000</v>
      </c>
      <c r="C41" s="337">
        <f>'t13'!W41</f>
        <v>0</v>
      </c>
      <c r="D41" s="337">
        <f>'t13'!T41</f>
        <v>0</v>
      </c>
      <c r="E41" s="339" t="str">
        <f t="shared" si="0"/>
        <v xml:space="preserve"> </v>
      </c>
      <c r="F41" s="323" t="str">
        <f t="shared" si="1"/>
        <v xml:space="preserve"> </v>
      </c>
      <c r="G41" s="337">
        <f>'t13'!U41</f>
        <v>0</v>
      </c>
      <c r="H41" s="339" t="str">
        <f t="shared" si="2"/>
        <v xml:space="preserve"> </v>
      </c>
      <c r="I41" s="323" t="str">
        <f t="shared" si="3"/>
        <v xml:space="preserve"> </v>
      </c>
      <c r="J41" s="358" t="str">
        <f t="shared" si="4"/>
        <v>OK</v>
      </c>
    </row>
    <row r="42" spans="1:10" ht="13.2">
      <c r="A42" s="139" t="str">
        <f>'t1'!A42</f>
        <v>POSIZIONE ECONOMICA DI ACCESSO B1</v>
      </c>
      <c r="B42" s="318" t="str">
        <f>'t1'!B42</f>
        <v>054000</v>
      </c>
      <c r="C42" s="337">
        <f>'t13'!W42</f>
        <v>0</v>
      </c>
      <c r="D42" s="337">
        <f>'t13'!T42</f>
        <v>0</v>
      </c>
      <c r="E42" s="339" t="str">
        <f t="shared" si="0"/>
        <v xml:space="preserve"> </v>
      </c>
      <c r="F42" s="323" t="str">
        <f t="shared" si="1"/>
        <v xml:space="preserve"> </v>
      </c>
      <c r="G42" s="337">
        <f>'t13'!U42</f>
        <v>0</v>
      </c>
      <c r="H42" s="339" t="str">
        <f t="shared" si="2"/>
        <v xml:space="preserve"> </v>
      </c>
      <c r="I42" s="323" t="str">
        <f t="shared" si="3"/>
        <v xml:space="preserve"> </v>
      </c>
      <c r="J42" s="358" t="str">
        <f t="shared" si="4"/>
        <v>OK</v>
      </c>
    </row>
    <row r="43" spans="1:10" ht="13.2">
      <c r="A43" s="139" t="str">
        <f>'t1'!A43</f>
        <v>POSIZIONE ECONOMICA A5</v>
      </c>
      <c r="B43" s="318" t="str">
        <f>'t1'!B43</f>
        <v>0A5000</v>
      </c>
      <c r="C43" s="337">
        <f>'t13'!W43</f>
        <v>0</v>
      </c>
      <c r="D43" s="337">
        <f>'t13'!T43</f>
        <v>0</v>
      </c>
      <c r="E43" s="339" t="str">
        <f t="shared" si="0"/>
        <v xml:space="preserve"> </v>
      </c>
      <c r="F43" s="323" t="str">
        <f t="shared" si="1"/>
        <v xml:space="preserve"> </v>
      </c>
      <c r="G43" s="337">
        <f>'t13'!U43</f>
        <v>0</v>
      </c>
      <c r="H43" s="339" t="str">
        <f t="shared" si="2"/>
        <v xml:space="preserve"> </v>
      </c>
      <c r="I43" s="323" t="str">
        <f t="shared" si="3"/>
        <v xml:space="preserve"> </v>
      </c>
      <c r="J43" s="358" t="str">
        <f t="shared" si="4"/>
        <v>OK</v>
      </c>
    </row>
    <row r="44" spans="1:10" ht="13.2">
      <c r="A44" s="139" t="str">
        <f>'t1'!A44</f>
        <v>POSIZIONE ECONOMICA A4</v>
      </c>
      <c r="B44" s="318" t="str">
        <f>'t1'!B44</f>
        <v>028000</v>
      </c>
      <c r="C44" s="337">
        <f>'t13'!W44</f>
        <v>0</v>
      </c>
      <c r="D44" s="337">
        <f>'t13'!T44</f>
        <v>0</v>
      </c>
      <c r="E44" s="339" t="str">
        <f t="shared" si="0"/>
        <v xml:space="preserve"> </v>
      </c>
      <c r="F44" s="323" t="str">
        <f t="shared" si="1"/>
        <v xml:space="preserve"> </v>
      </c>
      <c r="G44" s="337">
        <f>'t13'!U44</f>
        <v>0</v>
      </c>
      <c r="H44" s="339" t="str">
        <f t="shared" si="2"/>
        <v xml:space="preserve"> </v>
      </c>
      <c r="I44" s="323" t="str">
        <f t="shared" si="3"/>
        <v xml:space="preserve"> </v>
      </c>
      <c r="J44" s="358" t="str">
        <f t="shared" si="4"/>
        <v>OK</v>
      </c>
    </row>
    <row r="45" spans="1:10" ht="13.2">
      <c r="A45" s="139" t="str">
        <f>'t1'!A45</f>
        <v>POSIZIONE ECONOMICA A3</v>
      </c>
      <c r="B45" s="318" t="str">
        <f>'t1'!B45</f>
        <v>027000</v>
      </c>
      <c r="C45" s="337">
        <f>'t13'!W45</f>
        <v>0</v>
      </c>
      <c r="D45" s="337">
        <f>'t13'!T45</f>
        <v>0</v>
      </c>
      <c r="E45" s="339" t="str">
        <f t="shared" si="0"/>
        <v xml:space="preserve"> </v>
      </c>
      <c r="F45" s="323" t="str">
        <f t="shared" si="1"/>
        <v xml:space="preserve"> </v>
      </c>
      <c r="G45" s="337">
        <f>'t13'!U45</f>
        <v>0</v>
      </c>
      <c r="H45" s="339" t="str">
        <f t="shared" si="2"/>
        <v xml:space="preserve"> </v>
      </c>
      <c r="I45" s="323" t="str">
        <f t="shared" si="3"/>
        <v xml:space="preserve"> </v>
      </c>
      <c r="J45" s="358" t="str">
        <f t="shared" si="4"/>
        <v>OK</v>
      </c>
    </row>
    <row r="46" spans="1:10" ht="13.2">
      <c r="A46" s="139" t="str">
        <f>'t1'!A46</f>
        <v>POSIZIONE ECONOMICA A2</v>
      </c>
      <c r="B46" s="318" t="str">
        <f>'t1'!B46</f>
        <v>025000</v>
      </c>
      <c r="C46" s="337">
        <f>'t13'!W46</f>
        <v>0</v>
      </c>
      <c r="D46" s="337">
        <f>'t13'!T46</f>
        <v>0</v>
      </c>
      <c r="E46" s="339" t="str">
        <f t="shared" si="0"/>
        <v xml:space="preserve"> </v>
      </c>
      <c r="F46" s="323" t="str">
        <f t="shared" si="1"/>
        <v xml:space="preserve"> </v>
      </c>
      <c r="G46" s="337">
        <f>'t13'!U46</f>
        <v>0</v>
      </c>
      <c r="H46" s="339" t="str">
        <f t="shared" si="2"/>
        <v xml:space="preserve"> </v>
      </c>
      <c r="I46" s="323" t="str">
        <f t="shared" si="3"/>
        <v xml:space="preserve"> </v>
      </c>
      <c r="J46" s="358" t="str">
        <f t="shared" si="4"/>
        <v>OK</v>
      </c>
    </row>
    <row r="47" spans="1:10" ht="13.2">
      <c r="A47" s="139" t="str">
        <f>'t1'!A47</f>
        <v>POSIZIONE ECONOMICA DI ACCESSO A1</v>
      </c>
      <c r="B47" s="318" t="str">
        <f>'t1'!B47</f>
        <v>053000</v>
      </c>
      <c r="C47" s="337">
        <f>'t13'!W47</f>
        <v>0</v>
      </c>
      <c r="D47" s="337">
        <f>'t13'!T47</f>
        <v>0</v>
      </c>
      <c r="E47" s="339" t="str">
        <f t="shared" si="0"/>
        <v xml:space="preserve"> </v>
      </c>
      <c r="F47" s="323" t="str">
        <f t="shared" si="1"/>
        <v xml:space="preserve"> </v>
      </c>
      <c r="G47" s="337">
        <f>'t13'!U47</f>
        <v>0</v>
      </c>
      <c r="H47" s="339" t="str">
        <f t="shared" si="2"/>
        <v xml:space="preserve"> </v>
      </c>
      <c r="I47" s="323" t="str">
        <f t="shared" si="3"/>
        <v xml:space="preserve"> </v>
      </c>
      <c r="J47" s="358" t="str">
        <f t="shared" si="4"/>
        <v>OK</v>
      </c>
    </row>
    <row r="48" spans="1:10" ht="13.2">
      <c r="A48" s="139" t="str">
        <f>'t1'!A48</f>
        <v>CONTRATTISTI (a)</v>
      </c>
      <c r="B48" s="318" t="str">
        <f>'t1'!B48</f>
        <v>000061</v>
      </c>
      <c r="C48" s="337">
        <f>'t13'!W48</f>
        <v>0</v>
      </c>
      <c r="D48" s="337">
        <f>'t13'!T48</f>
        <v>0</v>
      </c>
      <c r="E48" s="339" t="str">
        <f t="shared" si="0"/>
        <v xml:space="preserve"> </v>
      </c>
      <c r="F48" s="323" t="str">
        <f t="shared" si="1"/>
        <v xml:space="preserve"> </v>
      </c>
      <c r="G48" s="337">
        <f>'t13'!U48</f>
        <v>0</v>
      </c>
      <c r="H48" s="339" t="str">
        <f t="shared" si="2"/>
        <v xml:space="preserve"> </v>
      </c>
      <c r="I48" s="323" t="str">
        <f t="shared" si="3"/>
        <v xml:space="preserve"> </v>
      </c>
      <c r="J48" s="358" t="str">
        <f t="shared" si="4"/>
        <v>OK</v>
      </c>
    </row>
    <row r="49" spans="1:10" ht="13.2">
      <c r="A49" s="139" t="str">
        <f>'t1'!A49</f>
        <v>COLLABORATORE A T.D. ART. 90 TUEL (b)</v>
      </c>
      <c r="B49" s="318" t="str">
        <f>'t1'!B49</f>
        <v>000096</v>
      </c>
      <c r="C49" s="337">
        <f>'t13'!W49</f>
        <v>0</v>
      </c>
      <c r="D49" s="337">
        <f>'t13'!T49</f>
        <v>0</v>
      </c>
      <c r="E49" s="339" t="str">
        <f t="shared" si="0"/>
        <v xml:space="preserve"> </v>
      </c>
      <c r="F49" s="323" t="str">
        <f t="shared" si="1"/>
        <v xml:space="preserve"> </v>
      </c>
      <c r="G49" s="337">
        <f>'t13'!U49</f>
        <v>0</v>
      </c>
      <c r="H49" s="339" t="str">
        <f t="shared" si="2"/>
        <v xml:space="preserve"> </v>
      </c>
      <c r="I49" s="323" t="str">
        <f t="shared" si="3"/>
        <v xml:space="preserve"> </v>
      </c>
      <c r="J49" s="358" t="str">
        <f t="shared" si="4"/>
        <v>OK</v>
      </c>
    </row>
  </sheetData>
  <sheetProtection password="EA98" sheet="1" formatColumns="0" selectLockedCells="1" selectUnlockedCells="1"/>
  <mergeCells count="2">
    <mergeCell ref="A1:J1"/>
    <mergeCell ref="D2:J2"/>
  </mergeCells>
  <printOptions horizontalCentered="1"/>
  <pageMargins left="0.23622047244094491" right="0.23622047244094491" top="0.2" bottom="0.16" header="0.17" footer="0.16"/>
  <pageSetup paperSize="9" scale="83" orientation="landscape" horizontalDpi="0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3"/>
  <dimension ref="A1:L12"/>
  <sheetViews>
    <sheetView workbookViewId="0">
      <selection activeCell="K17" sqref="K17"/>
    </sheetView>
  </sheetViews>
  <sheetFormatPr defaultRowHeight="10.199999999999999"/>
  <cols>
    <col min="1" max="1" width="37.7109375" style="5" customWidth="1"/>
    <col min="2" max="2" width="8.42578125" style="7" hidden="1" customWidth="1"/>
    <col min="3" max="5" width="12.7109375" style="5" customWidth="1"/>
    <col min="6" max="6" width="1.7109375" style="3" customWidth="1"/>
    <col min="7" max="9" width="12.7109375" style="590" customWidth="1"/>
    <col min="10" max="10" width="1.7109375" customWidth="1"/>
    <col min="11" max="12" width="14.7109375" customWidth="1"/>
  </cols>
  <sheetData>
    <row r="1" spans="1:12" ht="32.4" customHeight="1">
      <c r="A1" s="1590" t="str">
        <f>'t1'!A1</f>
        <v>COMPARTO REGIONI ED AUTONOMIE LOCALI - anno 2017</v>
      </c>
      <c r="B1" s="1590"/>
      <c r="C1" s="1590"/>
      <c r="D1" s="1590"/>
      <c r="E1" s="1590"/>
      <c r="F1" s="1590"/>
      <c r="G1" s="1590"/>
      <c r="H1" s="1590"/>
      <c r="I1" s="1590"/>
      <c r="J1" s="1590"/>
      <c r="K1" s="1590"/>
    </row>
    <row r="2" spans="1:12" ht="42" customHeight="1" thickBot="1">
      <c r="A2" s="1594" t="s">
        <v>830</v>
      </c>
      <c r="B2" s="1594"/>
      <c r="C2" s="1594"/>
      <c r="D2" s="1594"/>
      <c r="E2" s="1594"/>
      <c r="F2" s="1594"/>
      <c r="G2" s="1594"/>
      <c r="H2" s="1594"/>
      <c r="I2" s="1594"/>
      <c r="J2" s="1594"/>
      <c r="K2" s="1594"/>
      <c r="L2" s="1594"/>
    </row>
    <row r="3" spans="1:12" ht="30.6" customHeight="1">
      <c r="A3" s="898" t="s">
        <v>136</v>
      </c>
      <c r="B3" s="899" t="s">
        <v>103</v>
      </c>
      <c r="C3" s="1591" t="s">
        <v>828</v>
      </c>
      <c r="D3" s="1592"/>
      <c r="E3" s="1593"/>
      <c r="F3" s="888"/>
      <c r="G3" s="1587" t="s">
        <v>827</v>
      </c>
      <c r="H3" s="1588"/>
      <c r="I3" s="1589"/>
      <c r="K3" s="1587" t="s">
        <v>829</v>
      </c>
      <c r="L3" s="1589"/>
    </row>
    <row r="4" spans="1:12" ht="13.2">
      <c r="A4" s="900"/>
      <c r="B4" s="901"/>
      <c r="C4" s="891" t="s">
        <v>105</v>
      </c>
      <c r="D4" s="892" t="s">
        <v>106</v>
      </c>
      <c r="E4" s="893" t="s">
        <v>826</v>
      </c>
      <c r="F4" s="894"/>
      <c r="G4" s="891" t="s">
        <v>105</v>
      </c>
      <c r="H4" s="892" t="s">
        <v>106</v>
      </c>
      <c r="I4" s="893" t="s">
        <v>826</v>
      </c>
      <c r="J4" s="200"/>
      <c r="K4" s="891" t="s">
        <v>105</v>
      </c>
      <c r="L4" s="893" t="s">
        <v>106</v>
      </c>
    </row>
    <row r="5" spans="1:12" ht="13.2">
      <c r="A5" s="902"/>
      <c r="B5" s="903"/>
      <c r="C5" s="895" t="s">
        <v>234</v>
      </c>
      <c r="D5" s="703" t="s">
        <v>235</v>
      </c>
      <c r="E5" s="896" t="s">
        <v>236</v>
      </c>
      <c r="F5" s="889"/>
      <c r="G5" s="897" t="s">
        <v>237</v>
      </c>
      <c r="H5" s="703" t="s">
        <v>238</v>
      </c>
      <c r="I5" s="896" t="s">
        <v>258</v>
      </c>
      <c r="J5" s="116"/>
      <c r="K5" s="897" t="s">
        <v>843</v>
      </c>
      <c r="L5" s="896" t="s">
        <v>844</v>
      </c>
    </row>
    <row r="6" spans="1:12" ht="13.2">
      <c r="A6" s="904" t="str">
        <f>'t2'!A6</f>
        <v>Categoria D</v>
      </c>
      <c r="B6" s="905" t="str">
        <f>'t2'!B6</f>
        <v>CD</v>
      </c>
      <c r="C6" s="910">
        <f>'t2'!C6</f>
        <v>0</v>
      </c>
      <c r="D6" s="911">
        <f>'t2'!D6</f>
        <v>0</v>
      </c>
      <c r="E6" s="912">
        <f t="shared" ref="E6:E11" si="0">SUM(C6:D6)</f>
        <v>0</v>
      </c>
      <c r="F6" s="889"/>
      <c r="G6" s="884">
        <f>t2A!D12+t2A!F12+t2A!H12+t2A!J12+t2A!L12+t2A!N12+t2A!P12+t2A!R12</f>
        <v>0</v>
      </c>
      <c r="H6" s="881">
        <f>t2A!E12+t2A!G12+t2A!I12+t2A!K12+t2A!M12+t2A!O12+t2A!Q12+t2A!S12</f>
        <v>0</v>
      </c>
      <c r="I6" s="885">
        <f t="shared" ref="I6:I11" si="1">SUM(G6:H6)</f>
        <v>0</v>
      </c>
      <c r="K6" s="925" t="str">
        <f t="shared" ref="K6:L10" si="2">IF(C6&gt;0,IF(G6&gt;0,"OK","Manca T2A"),IF(C6=0,IF(G6=0,"OK","Manca T2"),"orrore"))</f>
        <v>OK</v>
      </c>
      <c r="L6" s="926" t="str">
        <f t="shared" si="2"/>
        <v>OK</v>
      </c>
    </row>
    <row r="7" spans="1:12" ht="13.2">
      <c r="A7" s="904" t="str">
        <f>'t2'!A7</f>
        <v>Categoria C</v>
      </c>
      <c r="B7" s="905" t="str">
        <f>'t2'!B7</f>
        <v>CC</v>
      </c>
      <c r="C7" s="910">
        <f>'t2'!C7</f>
        <v>0</v>
      </c>
      <c r="D7" s="911">
        <f>'t2'!D7</f>
        <v>0</v>
      </c>
      <c r="E7" s="912">
        <f t="shared" si="0"/>
        <v>0</v>
      </c>
      <c r="F7" s="889"/>
      <c r="G7" s="884">
        <f>t2A!D13+t2A!F13+t2A!H13+t2A!J13+t2A!L13+t2A!N13+t2A!P13+t2A!R13</f>
        <v>0</v>
      </c>
      <c r="H7" s="881">
        <f>t2A!E13+t2A!G13+t2A!I13+t2A!K13+t2A!M13+t2A!O13+t2A!Q13+t2A!S13</f>
        <v>0</v>
      </c>
      <c r="I7" s="885">
        <f t="shared" si="1"/>
        <v>0</v>
      </c>
      <c r="K7" s="925" t="str">
        <f t="shared" si="2"/>
        <v>OK</v>
      </c>
      <c r="L7" s="926" t="str">
        <f t="shared" si="2"/>
        <v>OK</v>
      </c>
    </row>
    <row r="8" spans="1:12" ht="13.2">
      <c r="A8" s="904" t="str">
        <f>'t2'!A8</f>
        <v>Categoria B</v>
      </c>
      <c r="B8" s="905" t="str">
        <f>'t2'!B8</f>
        <v>CB</v>
      </c>
      <c r="C8" s="910">
        <f>'t2'!C8</f>
        <v>0</v>
      </c>
      <c r="D8" s="911">
        <f>'t2'!D8</f>
        <v>0</v>
      </c>
      <c r="E8" s="912">
        <f t="shared" si="0"/>
        <v>0</v>
      </c>
      <c r="F8" s="889"/>
      <c r="G8" s="884">
        <f>t2A!D14+t2A!F14+t2A!H14+t2A!J14+t2A!L14+t2A!N14+t2A!P14+t2A!R14</f>
        <v>0</v>
      </c>
      <c r="H8" s="881">
        <f>t2A!E14+t2A!G14+t2A!I14+t2A!K14+t2A!M14+t2A!O14+t2A!Q14+t2A!S14</f>
        <v>0</v>
      </c>
      <c r="I8" s="885">
        <f t="shared" si="1"/>
        <v>0</v>
      </c>
      <c r="K8" s="925" t="str">
        <f t="shared" si="2"/>
        <v>OK</v>
      </c>
      <c r="L8" s="926" t="str">
        <f t="shared" si="2"/>
        <v>OK</v>
      </c>
    </row>
    <row r="9" spans="1:12" ht="13.2">
      <c r="A9" s="904" t="str">
        <f>'t2'!A9</f>
        <v>Categoria A</v>
      </c>
      <c r="B9" s="905" t="str">
        <f>'t2'!B9</f>
        <v>CA</v>
      </c>
      <c r="C9" s="910">
        <f>'t2'!C9</f>
        <v>0</v>
      </c>
      <c r="D9" s="911">
        <f>'t2'!D9</f>
        <v>0</v>
      </c>
      <c r="E9" s="912">
        <f t="shared" si="0"/>
        <v>0</v>
      </c>
      <c r="F9" s="889"/>
      <c r="G9" s="884">
        <f>t2A!D15+t2A!F15+t2A!H15+t2A!J15+t2A!L15+t2A!N15+t2A!P15+t2A!R15</f>
        <v>0</v>
      </c>
      <c r="H9" s="881">
        <f>t2A!E15+t2A!G15+t2A!I15+t2A!K15+t2A!M15+t2A!O15+t2A!Q15+t2A!S15</f>
        <v>0</v>
      </c>
      <c r="I9" s="885">
        <f t="shared" si="1"/>
        <v>0</v>
      </c>
      <c r="K9" s="925" t="str">
        <f t="shared" si="2"/>
        <v>OK</v>
      </c>
      <c r="L9" s="926" t="str">
        <f t="shared" si="2"/>
        <v>OK</v>
      </c>
    </row>
    <row r="10" spans="1:12" ht="13.8" thickBot="1">
      <c r="A10" s="906" t="str">
        <f>'t2'!A10</f>
        <v>Personale contrattista</v>
      </c>
      <c r="B10" s="907" t="str">
        <f>'t2'!B10</f>
        <v>PC</v>
      </c>
      <c r="C10" s="913">
        <f>'t2'!C10</f>
        <v>0</v>
      </c>
      <c r="D10" s="914">
        <f>'t2'!D10</f>
        <v>0</v>
      </c>
      <c r="E10" s="915">
        <f t="shared" si="0"/>
        <v>0</v>
      </c>
      <c r="F10" s="890"/>
      <c r="G10" s="886">
        <f>t2A!D16+t2A!F16+t2A!H16+t2A!J16+t2A!L16+t2A!N16+t2A!P16+t2A!R16</f>
        <v>0</v>
      </c>
      <c r="H10" s="882">
        <f>t2A!E16+t2A!G16+t2A!I16+t2A!K16+t2A!M16+t2A!O16+t2A!Q16+t2A!S16</f>
        <v>0</v>
      </c>
      <c r="I10" s="887">
        <f t="shared" si="1"/>
        <v>0</v>
      </c>
      <c r="K10" s="925" t="str">
        <f t="shared" si="2"/>
        <v>OK</v>
      </c>
      <c r="L10" s="926" t="str">
        <f t="shared" si="2"/>
        <v>OK</v>
      </c>
    </row>
    <row r="11" spans="1:12" ht="13.8" thickBot="1">
      <c r="A11" s="883" t="s">
        <v>107</v>
      </c>
      <c r="B11" s="908"/>
      <c r="C11" s="916">
        <f>SUM(C6:C10)</f>
        <v>0</v>
      </c>
      <c r="D11" s="917">
        <f>SUM(D6:D10)</f>
        <v>0</v>
      </c>
      <c r="E11" s="917">
        <f t="shared" si="0"/>
        <v>0</v>
      </c>
      <c r="G11" s="918">
        <f>SUM(G6:G10)</f>
        <v>0</v>
      </c>
      <c r="H11" s="934">
        <f>SUM(H6:H10)</f>
        <v>0</v>
      </c>
      <c r="I11" s="919">
        <f t="shared" si="1"/>
        <v>0</v>
      </c>
      <c r="K11" s="923" t="str">
        <f>IF(COUNTIF(K6:K10,"OK")=5,"OK","Errore")</f>
        <v>OK</v>
      </c>
      <c r="L11" s="924" t="str">
        <f>IF(COUNTIF(L6:L10,"OK")=5,"OK","Errore")</f>
        <v>OK</v>
      </c>
    </row>
    <row r="12" spans="1:12">
      <c r="A12" s="8"/>
      <c r="B12" s="9"/>
    </row>
  </sheetData>
  <sheetProtection password="EA98" sheet="1" formatColumns="0" selectLockedCells="1" selectUnlockedCells="1"/>
  <mergeCells count="5">
    <mergeCell ref="G3:I3"/>
    <mergeCell ref="A1:K1"/>
    <mergeCell ref="C3:E3"/>
    <mergeCell ref="K3:L3"/>
    <mergeCell ref="A2:L2"/>
  </mergeCells>
  <dataValidations count="1">
    <dataValidation type="whole" allowBlank="1" showInputMessage="1" showErrorMessage="1" errorTitle="ERRORE" error="INSERIRE SOLO NUMERI INTERI COMPRESI TRA 0 E 9999999" sqref="G6:H11">
      <formula1>0</formula1>
      <formula2>9999999</formula2>
    </dataValidation>
  </dataValidation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44">
    <pageSetUpPr fitToPage="1"/>
  </sheetPr>
  <dimension ref="A1:K49"/>
  <sheetViews>
    <sheetView showGridLines="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0.199999999999999"/>
  <cols>
    <col min="1" max="1" width="41.42578125" style="5" customWidth="1"/>
    <col min="2" max="2" width="10" style="7" customWidth="1"/>
    <col min="3" max="3" width="11.85546875" style="7" customWidth="1"/>
    <col min="4" max="5" width="14" style="7" customWidth="1"/>
    <col min="6" max="6" width="11.85546875" style="7" customWidth="1"/>
    <col min="7" max="7" width="13.85546875" style="7" customWidth="1"/>
    <col min="8" max="8" width="16.85546875" style="7" hidden="1" customWidth="1"/>
    <col min="9" max="9" width="63.28515625" customWidth="1"/>
  </cols>
  <sheetData>
    <row r="1" spans="1:11" s="5" customFormat="1" ht="43.5" customHeight="1">
      <c r="A1" s="1442" t="str">
        <f>'t1'!A1</f>
        <v>COMPARTO REGIONI ED AUTONOMIE LOCALI - anno 2017</v>
      </c>
      <c r="B1" s="1442"/>
      <c r="C1" s="1442"/>
      <c r="D1" s="1442"/>
      <c r="E1" s="1442"/>
      <c r="F1" s="1442"/>
      <c r="G1" s="1442"/>
      <c r="H1" s="1442"/>
      <c r="I1" s="1442"/>
      <c r="K1"/>
    </row>
    <row r="2" spans="1:11" s="5" customFormat="1" ht="12.75" customHeight="1">
      <c r="D2" s="1524"/>
      <c r="E2" s="1524"/>
      <c r="F2" s="1524"/>
      <c r="G2" s="1524"/>
      <c r="H2" s="642"/>
      <c r="I2" s="3"/>
      <c r="K2"/>
    </row>
    <row r="3" spans="1:11" s="5" customFormat="1" ht="43.95" customHeight="1">
      <c r="A3" s="1595" t="s">
        <v>880</v>
      </c>
      <c r="B3" s="1595"/>
      <c r="C3" s="1595"/>
      <c r="D3" s="1595"/>
      <c r="E3" s="1595"/>
      <c r="F3" s="1595"/>
      <c r="G3" s="1595"/>
      <c r="H3" s="1595"/>
      <c r="I3" s="1595"/>
    </row>
    <row r="4" spans="1:11" ht="61.2">
      <c r="A4" s="181" t="s">
        <v>270</v>
      </c>
      <c r="B4" s="183" t="s">
        <v>232</v>
      </c>
      <c r="C4" s="646" t="s">
        <v>68</v>
      </c>
      <c r="D4" s="646" t="s">
        <v>879</v>
      </c>
      <c r="E4" s="646" t="s">
        <v>878</v>
      </c>
      <c r="F4" s="182" t="s">
        <v>70</v>
      </c>
      <c r="G4" s="646" t="s">
        <v>873</v>
      </c>
      <c r="H4" s="182" t="s">
        <v>721</v>
      </c>
      <c r="I4" s="646" t="s">
        <v>693</v>
      </c>
    </row>
    <row r="5" spans="1:11" s="200" customFormat="1" ht="40.799999999999997" hidden="1">
      <c r="A5" s="180"/>
      <c r="B5" s="194"/>
      <c r="C5" s="194" t="s">
        <v>234</v>
      </c>
      <c r="D5" s="198"/>
      <c r="E5" s="198"/>
      <c r="F5" s="198" t="s">
        <v>236</v>
      </c>
      <c r="G5" s="198"/>
      <c r="H5" s="703" t="s">
        <v>725</v>
      </c>
      <c r="I5" s="705"/>
    </row>
    <row r="6" spans="1:11" s="116" customFormat="1" ht="13.2">
      <c r="A6" s="139" t="str">
        <f>'t1'!A6</f>
        <v>SEGRETARIO A</v>
      </c>
      <c r="B6" s="318" t="str">
        <f>'t1'!B6</f>
        <v>0D0102</v>
      </c>
      <c r="C6" s="994">
        <f>'t11'!U8+'t11'!V8</f>
        <v>0</v>
      </c>
      <c r="D6" s="994">
        <f>(C6-'t11'!Q8-'t11'!R8-'t11'!S8-'t11'!T8)</f>
        <v>0</v>
      </c>
      <c r="E6" s="1228">
        <f>'t12'!C6/12</f>
        <v>0</v>
      </c>
      <c r="F6" s="994">
        <f>'t3'!M6+'t3'!N6+'t3'!O6+'t3'!P6+'t3'!Q6+'t3'!R6</f>
        <v>0</v>
      </c>
      <c r="G6" s="358" t="str">
        <f t="shared" ref="G6:G49" si="0">IF(H6="OK","OK","ERRORE")</f>
        <v>OK</v>
      </c>
      <c r="H6" s="358" t="str">
        <f t="shared" ref="H6:H49" si="1">IF(((E6+F6)*273)&lt;(D6),"KO","OK")</f>
        <v>OK</v>
      </c>
      <c r="I6" s="706" t="str">
        <f>IF(H6="KO",($H$5&amp;(('t12'!C6/12*273)+(('t3'!M6+'t3'!N6+'t3'!O6+'t3'!P6+'t3'!Q6+'t3'!R6)*273))&amp;")"),"")</f>
        <v/>
      </c>
    </row>
    <row r="7" spans="1:11" ht="13.2">
      <c r="A7" s="139" t="str">
        <f>'t1'!A7</f>
        <v>SEGRETARIO B</v>
      </c>
      <c r="B7" s="318" t="str">
        <f>'t1'!B7</f>
        <v>0D0103</v>
      </c>
      <c r="C7" s="337">
        <f>'t11'!U9+'t11'!V9</f>
        <v>0</v>
      </c>
      <c r="D7" s="994">
        <f>(C7-'t11'!Q9-'t11'!R9-'t11'!S9-'t11'!T9)</f>
        <v>0</v>
      </c>
      <c r="E7" s="1228">
        <f>'t12'!C7/12</f>
        <v>0</v>
      </c>
      <c r="F7" s="337">
        <f>'t3'!M7+'t3'!N7+'t3'!O7+'t3'!P7+'t3'!Q7+'t3'!R7</f>
        <v>0</v>
      </c>
      <c r="G7" s="358" t="str">
        <f t="shared" si="0"/>
        <v>OK</v>
      </c>
      <c r="H7" s="358" t="str">
        <f t="shared" si="1"/>
        <v>OK</v>
      </c>
      <c r="I7" s="706" t="str">
        <f>IF(H7="KO",($H$5&amp;(('t12'!C7/12*273)+(('t3'!M7+'t3'!N7+'t3'!O7+'t3'!P7+'t3'!Q7+'t3'!R7)*273))&amp;")"),"")</f>
        <v/>
      </c>
    </row>
    <row r="8" spans="1:11" ht="13.2">
      <c r="A8" s="139" t="str">
        <f>'t1'!A8</f>
        <v>SEGRETARIO C</v>
      </c>
      <c r="B8" s="318" t="str">
        <f>'t1'!B8</f>
        <v>0D0485</v>
      </c>
      <c r="C8" s="337">
        <f>'t11'!U10+'t11'!V10</f>
        <v>0</v>
      </c>
      <c r="D8" s="994">
        <f>(C8-'t11'!Q10-'t11'!R10-'t11'!S10-'t11'!T10)</f>
        <v>0</v>
      </c>
      <c r="E8" s="1228">
        <f>'t12'!C8/12</f>
        <v>0</v>
      </c>
      <c r="F8" s="337">
        <f>'t3'!M8+'t3'!N8+'t3'!O8+'t3'!P8+'t3'!Q8+'t3'!R8</f>
        <v>0</v>
      </c>
      <c r="G8" s="358" t="str">
        <f t="shared" si="0"/>
        <v>OK</v>
      </c>
      <c r="H8" s="358" t="str">
        <f t="shared" si="1"/>
        <v>OK</v>
      </c>
      <c r="I8" s="706" t="str">
        <f>IF(H8="KO",($H$5&amp;(('t12'!C8/12*273)+(('t3'!M8+'t3'!N8+'t3'!O8+'t3'!P8+'t3'!Q8+'t3'!R8)*273))&amp;")"),"")</f>
        <v/>
      </c>
    </row>
    <row r="9" spans="1:11" ht="13.2">
      <c r="A9" s="139" t="str">
        <f>'t1'!A9</f>
        <v>SEGRETARIO GENERALE CCIAA</v>
      </c>
      <c r="B9" s="318" t="str">
        <f>'t1'!B9</f>
        <v>0D0104</v>
      </c>
      <c r="C9" s="337">
        <f>'t11'!U11+'t11'!V11</f>
        <v>0</v>
      </c>
      <c r="D9" s="994">
        <f>(C9-'t11'!Q11-'t11'!R11-'t11'!S11-'t11'!T11)</f>
        <v>0</v>
      </c>
      <c r="E9" s="1228">
        <f>'t12'!C9/12</f>
        <v>0</v>
      </c>
      <c r="F9" s="337">
        <f>'t3'!M9+'t3'!N9+'t3'!O9+'t3'!P9+'t3'!Q9+'t3'!R9</f>
        <v>0</v>
      </c>
      <c r="G9" s="358" t="str">
        <f t="shared" si="0"/>
        <v>OK</v>
      </c>
      <c r="H9" s="358" t="str">
        <f t="shared" si="1"/>
        <v>OK</v>
      </c>
      <c r="I9" s="706" t="str">
        <f>IF(H9="KO",($H$5&amp;(('t12'!C9/12*273)+(('t3'!M9+'t3'!N9+'t3'!O9+'t3'!P9+'t3'!Q9+'t3'!R9)*273))&amp;")"),"")</f>
        <v/>
      </c>
    </row>
    <row r="10" spans="1:11" ht="13.2">
      <c r="A10" s="139" t="str">
        <f>'t1'!A10</f>
        <v>DIRETTORE  GENERALE</v>
      </c>
      <c r="B10" s="318" t="str">
        <f>'t1'!B10</f>
        <v>0D0097</v>
      </c>
      <c r="C10" s="337">
        <f>'t11'!U12+'t11'!V12</f>
        <v>0</v>
      </c>
      <c r="D10" s="994">
        <f>(C10-'t11'!Q12-'t11'!R12-'t11'!S12-'t11'!T12)</f>
        <v>0</v>
      </c>
      <c r="E10" s="1228">
        <f>'t12'!C10/12</f>
        <v>0</v>
      </c>
      <c r="F10" s="337">
        <f>'t3'!M10+'t3'!N10+'t3'!O10+'t3'!P10+'t3'!Q10+'t3'!R10</f>
        <v>0</v>
      </c>
      <c r="G10" s="358" t="str">
        <f t="shared" si="0"/>
        <v>OK</v>
      </c>
      <c r="H10" s="358" t="str">
        <f t="shared" si="1"/>
        <v>OK</v>
      </c>
      <c r="I10" s="706" t="str">
        <f>IF(H10="KO",($H$5&amp;(('t12'!C10/12*273)+(('t3'!M10+'t3'!N10+'t3'!O10+'t3'!P10+'t3'!Q10+'t3'!R10)*273))&amp;")"),"")</f>
        <v/>
      </c>
    </row>
    <row r="11" spans="1:11" ht="13.2">
      <c r="A11" s="139" t="str">
        <f>'t1'!A11</f>
        <v>DIRIGENTE FUORI D.O. art.110 c.2 TUEL</v>
      </c>
      <c r="B11" s="318" t="str">
        <f>'t1'!B11</f>
        <v>0D0098</v>
      </c>
      <c r="C11" s="337">
        <f>'t11'!U13+'t11'!V13</f>
        <v>0</v>
      </c>
      <c r="D11" s="994">
        <f>(C11-'t11'!Q13-'t11'!R13-'t11'!S13-'t11'!T13)</f>
        <v>0</v>
      </c>
      <c r="E11" s="1228">
        <f>'t12'!C11/12</f>
        <v>0</v>
      </c>
      <c r="F11" s="337">
        <f>'t3'!M11+'t3'!N11+'t3'!O11+'t3'!P11+'t3'!Q11+'t3'!R11</f>
        <v>0</v>
      </c>
      <c r="G11" s="358" t="str">
        <f t="shared" si="0"/>
        <v>OK</v>
      </c>
      <c r="H11" s="358" t="str">
        <f t="shared" si="1"/>
        <v>OK</v>
      </c>
      <c r="I11" s="706" t="str">
        <f>IF(H11="KO",($H$5&amp;(('t12'!C11/12*273)+(('t3'!M11+'t3'!N11+'t3'!O11+'t3'!P11+'t3'!Q11+'t3'!R11)*273))&amp;")"),"")</f>
        <v/>
      </c>
    </row>
    <row r="12" spans="1:11" ht="13.2">
      <c r="A12" s="139" t="str">
        <f>'t1'!A12</f>
        <v>ALTE SPECIALIZZ. FUORI D.O.art.110 c.2 TUEL</v>
      </c>
      <c r="B12" s="318" t="str">
        <f>'t1'!B12</f>
        <v>0D0095</v>
      </c>
      <c r="C12" s="337">
        <f>'t11'!U14+'t11'!V14</f>
        <v>0</v>
      </c>
      <c r="D12" s="994">
        <f>(C12-'t11'!Q14-'t11'!R14-'t11'!S14-'t11'!T14)</f>
        <v>0</v>
      </c>
      <c r="E12" s="1228">
        <f>'t12'!C12/12</f>
        <v>0</v>
      </c>
      <c r="F12" s="337">
        <f>'t3'!M12+'t3'!N12+'t3'!O12+'t3'!P12+'t3'!Q12+'t3'!R12</f>
        <v>0</v>
      </c>
      <c r="G12" s="358" t="str">
        <f t="shared" si="0"/>
        <v>OK</v>
      </c>
      <c r="H12" s="358" t="str">
        <f t="shared" si="1"/>
        <v>OK</v>
      </c>
      <c r="I12" s="706" t="str">
        <f>IF(H12="KO",($H$5&amp;(('t12'!C12/12*273)+(('t3'!M12+'t3'!N12+'t3'!O12+'t3'!P12+'t3'!Q12+'t3'!R12)*273))&amp;")"),"")</f>
        <v/>
      </c>
    </row>
    <row r="13" spans="1:11" ht="13.2">
      <c r="A13" s="139" t="str">
        <f>'t1'!A13</f>
        <v>DIRIGENTE A TEMPO INDETERMINATO</v>
      </c>
      <c r="B13" s="318" t="str">
        <f>'t1'!B13</f>
        <v>0D0164</v>
      </c>
      <c r="C13" s="337">
        <f>'t11'!U15+'t11'!V15</f>
        <v>0</v>
      </c>
      <c r="D13" s="994">
        <f>(C13-'t11'!Q15-'t11'!R15-'t11'!S15-'t11'!T15)</f>
        <v>0</v>
      </c>
      <c r="E13" s="1228">
        <f>'t12'!C13/12</f>
        <v>0</v>
      </c>
      <c r="F13" s="337">
        <f>'t3'!M13+'t3'!N13+'t3'!O13+'t3'!P13+'t3'!Q13+'t3'!R13</f>
        <v>0</v>
      </c>
      <c r="G13" s="358" t="str">
        <f t="shared" si="0"/>
        <v>OK</v>
      </c>
      <c r="H13" s="358" t="str">
        <f t="shared" si="1"/>
        <v>OK</v>
      </c>
      <c r="I13" s="706" t="str">
        <f>IF(H13="KO",($H$5&amp;(('t12'!C13/12*273)+(('t3'!M13+'t3'!N13+'t3'!O13+'t3'!P13+'t3'!Q13+'t3'!R13)*273))&amp;")"),"")</f>
        <v/>
      </c>
    </row>
    <row r="14" spans="1:11" ht="13.2">
      <c r="A14" s="139" t="str">
        <f>'t1'!A14</f>
        <v>DIRIGENTE A TEMPO DET.TO  ART.110 C.1 TUEL</v>
      </c>
      <c r="B14" s="318" t="str">
        <f>'t1'!B14</f>
        <v>0D0165</v>
      </c>
      <c r="C14" s="337">
        <f>'t11'!U16+'t11'!V16</f>
        <v>0</v>
      </c>
      <c r="D14" s="994">
        <f>(C14-'t11'!Q16-'t11'!R16-'t11'!S16-'t11'!T16)</f>
        <v>0</v>
      </c>
      <c r="E14" s="1228">
        <f>'t12'!C14/12</f>
        <v>0</v>
      </c>
      <c r="F14" s="337">
        <f>'t3'!M14+'t3'!N14+'t3'!O14+'t3'!P14+'t3'!Q14+'t3'!R14</f>
        <v>0</v>
      </c>
      <c r="G14" s="358" t="str">
        <f t="shared" si="0"/>
        <v>OK</v>
      </c>
      <c r="H14" s="358" t="str">
        <f t="shared" si="1"/>
        <v>OK</v>
      </c>
      <c r="I14" s="706" t="str">
        <f>IF(H14="KO",($H$5&amp;(('t12'!C14/12*273)+(('t3'!M14+'t3'!N14+'t3'!O14+'t3'!P14+'t3'!Q14+'t3'!R14)*273))&amp;")"),"")</f>
        <v/>
      </c>
    </row>
    <row r="15" spans="1:11" ht="13.2">
      <c r="A15" s="139" t="str">
        <f>'t1'!A15</f>
        <v>ALTE SPECIALIZZ. IN D.O. art.110 c.1 TUEL</v>
      </c>
      <c r="B15" s="318" t="str">
        <f>'t1'!B15</f>
        <v>0D0I95</v>
      </c>
      <c r="C15" s="337">
        <f>'t11'!U17+'t11'!V17</f>
        <v>0</v>
      </c>
      <c r="D15" s="994">
        <f>(C15-'t11'!Q17-'t11'!R17-'t11'!S17-'t11'!T17)</f>
        <v>0</v>
      </c>
      <c r="E15" s="1228">
        <f>'t12'!C15/12</f>
        <v>0</v>
      </c>
      <c r="F15" s="337">
        <f>'t3'!M15+'t3'!N15+'t3'!O15+'t3'!P15+'t3'!Q15+'t3'!R15</f>
        <v>0</v>
      </c>
      <c r="G15" s="358" t="str">
        <f t="shared" si="0"/>
        <v>OK</v>
      </c>
      <c r="H15" s="358" t="str">
        <f t="shared" si="1"/>
        <v>OK</v>
      </c>
      <c r="I15" s="706" t="str">
        <f>IF(H15="KO",($H$5&amp;(('t12'!C15/12*273)+(('t3'!M15+'t3'!N15+'t3'!O15+'t3'!P15+'t3'!Q15+'t3'!R15)*273))&amp;")"),"")</f>
        <v/>
      </c>
    </row>
    <row r="16" spans="1:11" ht="13.2">
      <c r="A16" s="139" t="str">
        <f>'t1'!A16</f>
        <v>POSIZ. ECON. D6 - PROFILI ACCESSO D3</v>
      </c>
      <c r="B16" s="318" t="str">
        <f>'t1'!B16</f>
        <v>0D6A00</v>
      </c>
      <c r="C16" s="337">
        <f>'t11'!U18+'t11'!V18</f>
        <v>0</v>
      </c>
      <c r="D16" s="994">
        <f>(C16-'t11'!Q18-'t11'!R18-'t11'!S18-'t11'!T18)</f>
        <v>0</v>
      </c>
      <c r="E16" s="1228">
        <f>'t12'!C16/12</f>
        <v>0</v>
      </c>
      <c r="F16" s="337">
        <f>'t3'!M16+'t3'!N16+'t3'!O16+'t3'!P16+'t3'!Q16+'t3'!R16</f>
        <v>0</v>
      </c>
      <c r="G16" s="358" t="str">
        <f t="shared" si="0"/>
        <v>OK</v>
      </c>
      <c r="H16" s="358" t="str">
        <f t="shared" si="1"/>
        <v>OK</v>
      </c>
      <c r="I16" s="706" t="str">
        <f>IF(H16="KO",($H$5&amp;(('t12'!C16/12*273)+(('t3'!M16+'t3'!N16+'t3'!O16+'t3'!P16+'t3'!Q16+'t3'!R16)*273))&amp;")"),"")</f>
        <v/>
      </c>
    </row>
    <row r="17" spans="1:9" ht="13.2">
      <c r="A17" s="139" t="str">
        <f>'t1'!A17</f>
        <v>POSIZ. ECON. D6 - PROFILO ACCESSO D1</v>
      </c>
      <c r="B17" s="318" t="str">
        <f>'t1'!B17</f>
        <v>0D6000</v>
      </c>
      <c r="C17" s="337">
        <f>'t11'!U19+'t11'!V19</f>
        <v>0</v>
      </c>
      <c r="D17" s="994">
        <f>(C17-'t11'!Q19-'t11'!R19-'t11'!S19-'t11'!T19)</f>
        <v>0</v>
      </c>
      <c r="E17" s="1228">
        <f>'t12'!C17/12</f>
        <v>0</v>
      </c>
      <c r="F17" s="337">
        <f>'t3'!M17+'t3'!N17+'t3'!O17+'t3'!P17+'t3'!Q17+'t3'!R17</f>
        <v>0</v>
      </c>
      <c r="G17" s="358" t="str">
        <f t="shared" si="0"/>
        <v>OK</v>
      </c>
      <c r="H17" s="358" t="str">
        <f t="shared" si="1"/>
        <v>OK</v>
      </c>
      <c r="I17" s="706" t="str">
        <f>IF(H17="KO",($H$5&amp;(('t12'!C17/12*273)+(('t3'!M17+'t3'!N17+'t3'!O17+'t3'!P17+'t3'!Q17+'t3'!R17)*273))&amp;")"),"")</f>
        <v/>
      </c>
    </row>
    <row r="18" spans="1:9" ht="13.2">
      <c r="A18" s="139" t="str">
        <f>'t1'!A18</f>
        <v>POSIZ. ECON. D5 PROFILI ACCESSO D3</v>
      </c>
      <c r="B18" s="318" t="str">
        <f>'t1'!B18</f>
        <v>052486</v>
      </c>
      <c r="C18" s="337">
        <f>'t11'!U20+'t11'!V20</f>
        <v>0</v>
      </c>
      <c r="D18" s="994">
        <f>(C18-'t11'!Q20-'t11'!R20-'t11'!S20-'t11'!T20)</f>
        <v>0</v>
      </c>
      <c r="E18" s="1228">
        <f>'t12'!C18/12</f>
        <v>0</v>
      </c>
      <c r="F18" s="337">
        <f>'t3'!M18+'t3'!N18+'t3'!O18+'t3'!P18+'t3'!Q18+'t3'!R18</f>
        <v>0</v>
      </c>
      <c r="G18" s="358" t="str">
        <f t="shared" si="0"/>
        <v>OK</v>
      </c>
      <c r="H18" s="358" t="str">
        <f t="shared" si="1"/>
        <v>OK</v>
      </c>
      <c r="I18" s="706" t="str">
        <f>IF(H18="KO",($H$5&amp;(('t12'!C18/12*273)+(('t3'!M18+'t3'!N18+'t3'!O18+'t3'!P18+'t3'!Q18+'t3'!R18)*273))&amp;")"),"")</f>
        <v/>
      </c>
    </row>
    <row r="19" spans="1:9" ht="13.2">
      <c r="A19" s="139" t="str">
        <f>'t1'!A19</f>
        <v>POSIZ. ECON. D5 PROFILI ACCESSO D1</v>
      </c>
      <c r="B19" s="318" t="str">
        <f>'t1'!B19</f>
        <v>052487</v>
      </c>
      <c r="C19" s="337">
        <f>'t11'!U21+'t11'!V21</f>
        <v>0</v>
      </c>
      <c r="D19" s="994">
        <f>(C19-'t11'!Q21-'t11'!R21-'t11'!S21-'t11'!T21)</f>
        <v>0</v>
      </c>
      <c r="E19" s="1228">
        <f>'t12'!C19/12</f>
        <v>0</v>
      </c>
      <c r="F19" s="337">
        <f>'t3'!M19+'t3'!N19+'t3'!O19+'t3'!P19+'t3'!Q19+'t3'!R19</f>
        <v>0</v>
      </c>
      <c r="G19" s="358" t="str">
        <f t="shared" si="0"/>
        <v>OK</v>
      </c>
      <c r="H19" s="358" t="str">
        <f t="shared" si="1"/>
        <v>OK</v>
      </c>
      <c r="I19" s="706" t="str">
        <f>IF(H19="KO",($H$5&amp;(('t12'!C19/12*273)+(('t3'!M19+'t3'!N19+'t3'!O19+'t3'!P19+'t3'!Q19+'t3'!R19)*273))&amp;")"),"")</f>
        <v/>
      </c>
    </row>
    <row r="20" spans="1:9" ht="13.2">
      <c r="A20" s="139" t="str">
        <f>'t1'!A20</f>
        <v>POSIZ. ECON. D4 PROFILI ACCESSO D3</v>
      </c>
      <c r="B20" s="318" t="str">
        <f>'t1'!B20</f>
        <v>051488</v>
      </c>
      <c r="C20" s="337">
        <f>'t11'!U22+'t11'!V22</f>
        <v>0</v>
      </c>
      <c r="D20" s="994">
        <f>(C20-'t11'!Q22-'t11'!R22-'t11'!S22-'t11'!T22)</f>
        <v>0</v>
      </c>
      <c r="E20" s="1228">
        <f>'t12'!C20/12</f>
        <v>0</v>
      </c>
      <c r="F20" s="337">
        <f>'t3'!M20+'t3'!N20+'t3'!O20+'t3'!P20+'t3'!Q20+'t3'!R20</f>
        <v>0</v>
      </c>
      <c r="G20" s="358" t="str">
        <f t="shared" si="0"/>
        <v>OK</v>
      </c>
      <c r="H20" s="358" t="str">
        <f t="shared" si="1"/>
        <v>OK</v>
      </c>
      <c r="I20" s="706" t="str">
        <f>IF(H20="KO",($H$5&amp;(('t12'!C20/12*273)+(('t3'!M20+'t3'!N20+'t3'!O20+'t3'!P20+'t3'!Q20+'t3'!R20)*273))&amp;")"),"")</f>
        <v/>
      </c>
    </row>
    <row r="21" spans="1:9" ht="13.2">
      <c r="A21" s="139" t="str">
        <f>'t1'!A21</f>
        <v>POSIZ. ECON. D4 PROFILI ACCESSO D1</v>
      </c>
      <c r="B21" s="318" t="str">
        <f>'t1'!B21</f>
        <v>051489</v>
      </c>
      <c r="C21" s="337">
        <f>'t11'!U23+'t11'!V23</f>
        <v>0</v>
      </c>
      <c r="D21" s="994">
        <f>(C21-'t11'!Q23-'t11'!R23-'t11'!S23-'t11'!T23)</f>
        <v>0</v>
      </c>
      <c r="E21" s="1228">
        <f>'t12'!C21/12</f>
        <v>0</v>
      </c>
      <c r="F21" s="337">
        <f>'t3'!M21+'t3'!N21+'t3'!O21+'t3'!P21+'t3'!Q21+'t3'!R21</f>
        <v>0</v>
      </c>
      <c r="G21" s="358" t="str">
        <f t="shared" si="0"/>
        <v>OK</v>
      </c>
      <c r="H21" s="358" t="str">
        <f t="shared" si="1"/>
        <v>OK</v>
      </c>
      <c r="I21" s="706" t="str">
        <f>IF(H21="KO",($H$5&amp;(('t12'!C21/12*273)+(('t3'!M21+'t3'!N21+'t3'!O21+'t3'!P21+'t3'!Q21+'t3'!R21)*273))&amp;")"),"")</f>
        <v/>
      </c>
    </row>
    <row r="22" spans="1:9" ht="13.2">
      <c r="A22" s="139" t="str">
        <f>'t1'!A22</f>
        <v>POSIZIONE ECONOMICA DI ACCESSO D3</v>
      </c>
      <c r="B22" s="318" t="str">
        <f>'t1'!B22</f>
        <v>058000</v>
      </c>
      <c r="C22" s="337">
        <f>'t11'!U24+'t11'!V24</f>
        <v>0</v>
      </c>
      <c r="D22" s="994">
        <f>(C22-'t11'!Q24-'t11'!R24-'t11'!S24-'t11'!T24)</f>
        <v>0</v>
      </c>
      <c r="E22" s="1228">
        <f>'t12'!C22/12</f>
        <v>0</v>
      </c>
      <c r="F22" s="337">
        <f>'t3'!M22+'t3'!N22+'t3'!O22+'t3'!P22+'t3'!Q22+'t3'!R22</f>
        <v>0</v>
      </c>
      <c r="G22" s="358" t="str">
        <f t="shared" si="0"/>
        <v>OK</v>
      </c>
      <c r="H22" s="358" t="str">
        <f t="shared" si="1"/>
        <v>OK</v>
      </c>
      <c r="I22" s="706" t="str">
        <f>IF(H22="KO",($H$5&amp;(('t12'!C22/12*273)+(('t3'!M22+'t3'!N22+'t3'!O22+'t3'!P22+'t3'!Q22+'t3'!R22)*273))&amp;")"),"")</f>
        <v/>
      </c>
    </row>
    <row r="23" spans="1:9" ht="13.2">
      <c r="A23" s="139" t="str">
        <f>'t1'!A23</f>
        <v>POSIZIONE ECONOMICA D3</v>
      </c>
      <c r="B23" s="318" t="str">
        <f>'t1'!B23</f>
        <v>050000</v>
      </c>
      <c r="C23" s="337">
        <f>'t11'!U25+'t11'!V25</f>
        <v>0</v>
      </c>
      <c r="D23" s="994">
        <f>(C23-'t11'!Q25-'t11'!R25-'t11'!S25-'t11'!T25)</f>
        <v>0</v>
      </c>
      <c r="E23" s="1228">
        <f>'t12'!C23/12</f>
        <v>0</v>
      </c>
      <c r="F23" s="337">
        <f>'t3'!M23+'t3'!N23+'t3'!O23+'t3'!P23+'t3'!Q23+'t3'!R23</f>
        <v>0</v>
      </c>
      <c r="G23" s="358" t="str">
        <f t="shared" si="0"/>
        <v>OK</v>
      </c>
      <c r="H23" s="358" t="str">
        <f t="shared" si="1"/>
        <v>OK</v>
      </c>
      <c r="I23" s="706" t="str">
        <f>IF(H23="KO",($H$5&amp;(('t12'!C23/12*273)+(('t3'!M23+'t3'!N23+'t3'!O23+'t3'!P23+'t3'!Q23+'t3'!R23)*273))&amp;")"),"")</f>
        <v/>
      </c>
    </row>
    <row r="24" spans="1:9" ht="13.2">
      <c r="A24" s="139" t="str">
        <f>'t1'!A24</f>
        <v>POSIZIONE ECONOMICA D2</v>
      </c>
      <c r="B24" s="318" t="str">
        <f>'t1'!B24</f>
        <v>049000</v>
      </c>
      <c r="C24" s="337">
        <f>'t11'!U26+'t11'!V26</f>
        <v>25</v>
      </c>
      <c r="D24" s="994">
        <f>(C24-'t11'!Q26-'t11'!R26-'t11'!S26-'t11'!T26)</f>
        <v>23</v>
      </c>
      <c r="E24" s="1228">
        <f>'t12'!C24/12</f>
        <v>0.6</v>
      </c>
      <c r="F24" s="337">
        <f>'t3'!M24+'t3'!N24+'t3'!O24+'t3'!P24+'t3'!Q24+'t3'!R24</f>
        <v>0</v>
      </c>
      <c r="G24" s="358" t="str">
        <f t="shared" si="0"/>
        <v>OK</v>
      </c>
      <c r="H24" s="358" t="str">
        <f t="shared" si="1"/>
        <v>OK</v>
      </c>
      <c r="I24" s="706" t="str">
        <f>IF(H24="KO",($H$5&amp;(('t12'!C24/12*273)+(('t3'!M24+'t3'!N24+'t3'!O24+'t3'!P24+'t3'!Q24+'t3'!R24)*273))&amp;")"),"")</f>
        <v/>
      </c>
    </row>
    <row r="25" spans="1:9" ht="13.2">
      <c r="A25" s="139" t="str">
        <f>'t1'!A25</f>
        <v>POSIZIONE ECONOMICA DI ACCESSO D1</v>
      </c>
      <c r="B25" s="318" t="str">
        <f>'t1'!B25</f>
        <v>057000</v>
      </c>
      <c r="C25" s="337">
        <f>'t11'!U27+'t11'!V27</f>
        <v>0</v>
      </c>
      <c r="D25" s="994">
        <f>(C25-'t11'!Q27-'t11'!R27-'t11'!S27-'t11'!T27)</f>
        <v>0</v>
      </c>
      <c r="E25" s="1228">
        <f>'t12'!C25/12</f>
        <v>0.08</v>
      </c>
      <c r="F25" s="337">
        <f>'t3'!M25+'t3'!N25+'t3'!O25+'t3'!P25+'t3'!Q25+'t3'!R25</f>
        <v>0</v>
      </c>
      <c r="G25" s="358" t="str">
        <f t="shared" si="0"/>
        <v>OK</v>
      </c>
      <c r="H25" s="358" t="str">
        <f t="shared" si="1"/>
        <v>OK</v>
      </c>
      <c r="I25" s="706" t="str">
        <f>IF(H25="KO",($H$5&amp;(('t12'!C25/12*273)+(('t3'!M25+'t3'!N25+'t3'!O25+'t3'!P25+'t3'!Q25+'t3'!R25)*273))&amp;")"),"")</f>
        <v/>
      </c>
    </row>
    <row r="26" spans="1:9" ht="13.2">
      <c r="A26" s="139" t="str">
        <f>'t1'!A26</f>
        <v>POSIZIONE ECONOMICA C5</v>
      </c>
      <c r="B26" s="318" t="str">
        <f>'t1'!B26</f>
        <v>046000</v>
      </c>
      <c r="C26" s="337">
        <f>'t11'!U28+'t11'!V28</f>
        <v>0</v>
      </c>
      <c r="D26" s="994">
        <f>(C26-'t11'!Q28-'t11'!R28-'t11'!S28-'t11'!T28)</f>
        <v>0</v>
      </c>
      <c r="E26" s="1228">
        <f>'t12'!C26/12</f>
        <v>0</v>
      </c>
      <c r="F26" s="337">
        <f>'t3'!M26+'t3'!N26+'t3'!O26+'t3'!P26+'t3'!Q26+'t3'!R26</f>
        <v>0</v>
      </c>
      <c r="G26" s="358" t="str">
        <f t="shared" si="0"/>
        <v>OK</v>
      </c>
      <c r="H26" s="358" t="str">
        <f t="shared" si="1"/>
        <v>OK</v>
      </c>
      <c r="I26" s="706" t="str">
        <f>IF(H26="KO",($H$5&amp;(('t12'!C26/12*273)+(('t3'!M26+'t3'!N26+'t3'!O26+'t3'!P26+'t3'!Q26+'t3'!R26)*273))&amp;")"),"")</f>
        <v/>
      </c>
    </row>
    <row r="27" spans="1:9" ht="13.2">
      <c r="A27" s="139" t="str">
        <f>'t1'!A27</f>
        <v>POSIZIONE ECONOMICA C4</v>
      </c>
      <c r="B27" s="318" t="str">
        <f>'t1'!B27</f>
        <v>045000</v>
      </c>
      <c r="C27" s="337">
        <f>'t11'!U29+'t11'!V29</f>
        <v>0</v>
      </c>
      <c r="D27" s="994">
        <f>(C27-'t11'!Q29-'t11'!R29-'t11'!S29-'t11'!T29)</f>
        <v>0</v>
      </c>
      <c r="E27" s="1228">
        <f>'t12'!C27/12</f>
        <v>0</v>
      </c>
      <c r="F27" s="337">
        <f>'t3'!M27+'t3'!N27+'t3'!O27+'t3'!P27+'t3'!Q27+'t3'!R27</f>
        <v>0</v>
      </c>
      <c r="G27" s="358" t="str">
        <f t="shared" si="0"/>
        <v>OK</v>
      </c>
      <c r="H27" s="358" t="str">
        <f t="shared" si="1"/>
        <v>OK</v>
      </c>
      <c r="I27" s="706" t="str">
        <f>IF(H27="KO",($H$5&amp;(('t12'!C27/12*273)+(('t3'!M27+'t3'!N27+'t3'!O27+'t3'!P27+'t3'!Q27+'t3'!R27)*273))&amp;")"),"")</f>
        <v/>
      </c>
    </row>
    <row r="28" spans="1:9" ht="13.2">
      <c r="A28" s="139" t="str">
        <f>'t1'!A28</f>
        <v>POSIZIONE ECONOMICA C3</v>
      </c>
      <c r="B28" s="318" t="str">
        <f>'t1'!B28</f>
        <v>043000</v>
      </c>
      <c r="C28" s="337">
        <f>'t11'!U30+'t11'!V30</f>
        <v>0</v>
      </c>
      <c r="D28" s="994">
        <f>(C28-'t11'!Q30-'t11'!R30-'t11'!S30-'t11'!T30)</f>
        <v>0</v>
      </c>
      <c r="E28" s="1228">
        <f>'t12'!C28/12</f>
        <v>0</v>
      </c>
      <c r="F28" s="337">
        <f>'t3'!M28+'t3'!N28+'t3'!O28+'t3'!P28+'t3'!Q28+'t3'!R28</f>
        <v>0</v>
      </c>
      <c r="G28" s="358" t="str">
        <f t="shared" si="0"/>
        <v>OK</v>
      </c>
      <c r="H28" s="358" t="str">
        <f t="shared" si="1"/>
        <v>OK</v>
      </c>
      <c r="I28" s="706" t="str">
        <f>IF(H28="KO",($H$5&amp;(('t12'!C28/12*273)+(('t3'!M28+'t3'!N28+'t3'!O28+'t3'!P28+'t3'!Q28+'t3'!R28)*273))&amp;")"),"")</f>
        <v/>
      </c>
    </row>
    <row r="29" spans="1:9" ht="13.2">
      <c r="A29" s="139" t="str">
        <f>'t1'!A29</f>
        <v>POSIZIONE ECONOMICA C2</v>
      </c>
      <c r="B29" s="318" t="str">
        <f>'t1'!B29</f>
        <v>042000</v>
      </c>
      <c r="C29" s="337">
        <f>'t11'!U31+'t11'!V31</f>
        <v>42</v>
      </c>
      <c r="D29" s="994">
        <f>(C29-'t11'!Q31-'t11'!R31-'t11'!S31-'t11'!T31)</f>
        <v>36</v>
      </c>
      <c r="E29" s="1228">
        <f>'t12'!C29/12</f>
        <v>1</v>
      </c>
      <c r="F29" s="337">
        <f>'t3'!M29+'t3'!N29+'t3'!O29+'t3'!P29+'t3'!Q29+'t3'!R29</f>
        <v>0</v>
      </c>
      <c r="G29" s="358" t="str">
        <f t="shared" si="0"/>
        <v>OK</v>
      </c>
      <c r="H29" s="358" t="str">
        <f t="shared" si="1"/>
        <v>OK</v>
      </c>
      <c r="I29" s="706" t="str">
        <f>IF(H29="KO",($H$5&amp;(('t12'!C29/12*273)+(('t3'!M29+'t3'!N29+'t3'!O29+'t3'!P29+'t3'!Q29+'t3'!R29)*273))&amp;")"),"")</f>
        <v/>
      </c>
    </row>
    <row r="30" spans="1:9" ht="13.2">
      <c r="A30" s="139" t="str">
        <f>'t1'!A30</f>
        <v>POSIZIONE ECONOMICA DI ACCESSO C1</v>
      </c>
      <c r="B30" s="318" t="str">
        <f>'t1'!B30</f>
        <v>056000</v>
      </c>
      <c r="C30" s="337">
        <f>'t11'!U32+'t11'!V32</f>
        <v>103</v>
      </c>
      <c r="D30" s="994">
        <f>(C30-'t11'!Q32-'t11'!R32-'t11'!S32-'t11'!T32)</f>
        <v>90</v>
      </c>
      <c r="E30" s="1228">
        <f>'t12'!C30/12</f>
        <v>1.3</v>
      </c>
      <c r="F30" s="337">
        <f>'t3'!M30+'t3'!N30+'t3'!O30+'t3'!P30+'t3'!Q30+'t3'!R30</f>
        <v>0</v>
      </c>
      <c r="G30" s="358" t="str">
        <f t="shared" si="0"/>
        <v>OK</v>
      </c>
      <c r="H30" s="358" t="str">
        <f t="shared" si="1"/>
        <v>OK</v>
      </c>
      <c r="I30" s="706" t="str">
        <f>IF(H30="KO",($H$5&amp;(('t12'!C30/12*273)+(('t3'!M30+'t3'!N30+'t3'!O30+'t3'!P30+'t3'!Q30+'t3'!R30)*273))&amp;")"),"")</f>
        <v/>
      </c>
    </row>
    <row r="31" spans="1:9" ht="13.2">
      <c r="A31" s="139" t="str">
        <f>'t1'!A31</f>
        <v>POSIZ. ECON. B7 - PROFILO ACCESSO B3</v>
      </c>
      <c r="B31" s="318" t="str">
        <f>'t1'!B31</f>
        <v>0B7A00</v>
      </c>
      <c r="C31" s="337">
        <f>'t11'!U33+'t11'!V33</f>
        <v>0</v>
      </c>
      <c r="D31" s="994">
        <f>(C31-'t11'!Q33-'t11'!R33-'t11'!S33-'t11'!T33)</f>
        <v>0</v>
      </c>
      <c r="E31" s="1228">
        <f>'t12'!C31/12</f>
        <v>0</v>
      </c>
      <c r="F31" s="337">
        <f>'t3'!M31+'t3'!N31+'t3'!O31+'t3'!P31+'t3'!Q31+'t3'!R31</f>
        <v>0</v>
      </c>
      <c r="G31" s="358" t="str">
        <f t="shared" si="0"/>
        <v>OK</v>
      </c>
      <c r="H31" s="358" t="str">
        <f t="shared" si="1"/>
        <v>OK</v>
      </c>
      <c r="I31" s="706" t="str">
        <f>IF(H31="KO",($H$5&amp;(('t12'!C31/12*273)+(('t3'!M31+'t3'!N31+'t3'!O31+'t3'!P31+'t3'!Q31+'t3'!R31)*273))&amp;")"),"")</f>
        <v/>
      </c>
    </row>
    <row r="32" spans="1:9" ht="13.2">
      <c r="A32" s="139" t="str">
        <f>'t1'!A32</f>
        <v>POSIZ. ECON. B7 - PROFILO  ACCESSO B1</v>
      </c>
      <c r="B32" s="318" t="str">
        <f>'t1'!B32</f>
        <v>0B7000</v>
      </c>
      <c r="C32" s="337">
        <f>'t11'!U34+'t11'!V34</f>
        <v>0</v>
      </c>
      <c r="D32" s="994">
        <f>(C32-'t11'!Q34-'t11'!R34-'t11'!S34-'t11'!T34)</f>
        <v>0</v>
      </c>
      <c r="E32" s="1228">
        <f>'t12'!C32/12</f>
        <v>0</v>
      </c>
      <c r="F32" s="337">
        <f>'t3'!M32+'t3'!N32+'t3'!O32+'t3'!P32+'t3'!Q32+'t3'!R32</f>
        <v>0</v>
      </c>
      <c r="G32" s="358" t="str">
        <f t="shared" si="0"/>
        <v>OK</v>
      </c>
      <c r="H32" s="358" t="str">
        <f t="shared" si="1"/>
        <v>OK</v>
      </c>
      <c r="I32" s="706" t="str">
        <f>IF(H32="KO",($H$5&amp;(('t12'!C32/12*273)+(('t3'!M32+'t3'!N32+'t3'!O32+'t3'!P32+'t3'!Q32+'t3'!R32)*273))&amp;")"),"")</f>
        <v/>
      </c>
    </row>
    <row r="33" spans="1:9" ht="13.2">
      <c r="A33" s="139" t="str">
        <f>'t1'!A33</f>
        <v>POSIZ. ECON. B6 PROFILI ACCESSO B3</v>
      </c>
      <c r="B33" s="318" t="str">
        <f>'t1'!B33</f>
        <v>038490</v>
      </c>
      <c r="C33" s="337">
        <f>'t11'!U35+'t11'!V35</f>
        <v>0</v>
      </c>
      <c r="D33" s="994">
        <f>(C33-'t11'!Q35-'t11'!R35-'t11'!S35-'t11'!T35)</f>
        <v>0</v>
      </c>
      <c r="E33" s="1228">
        <f>'t12'!C33/12</f>
        <v>0</v>
      </c>
      <c r="F33" s="337">
        <f>'t3'!M33+'t3'!N33+'t3'!O33+'t3'!P33+'t3'!Q33+'t3'!R33</f>
        <v>0</v>
      </c>
      <c r="G33" s="358" t="str">
        <f t="shared" si="0"/>
        <v>OK</v>
      </c>
      <c r="H33" s="358" t="str">
        <f t="shared" si="1"/>
        <v>OK</v>
      </c>
      <c r="I33" s="706" t="str">
        <f>IF(H33="KO",($H$5&amp;(('t12'!C33/12*273)+(('t3'!M33+'t3'!N33+'t3'!O33+'t3'!P33+'t3'!Q33+'t3'!R33)*273))&amp;")"),"")</f>
        <v/>
      </c>
    </row>
    <row r="34" spans="1:9" ht="13.2">
      <c r="A34" s="139" t="str">
        <f>'t1'!A34</f>
        <v>POSIZ. ECON. B6 PROFILI ACCESSO B1</v>
      </c>
      <c r="B34" s="318" t="str">
        <f>'t1'!B34</f>
        <v>038491</v>
      </c>
      <c r="C34" s="337">
        <f>'t11'!U36+'t11'!V36</f>
        <v>0</v>
      </c>
      <c r="D34" s="994">
        <f>(C34-'t11'!Q36-'t11'!R36-'t11'!S36-'t11'!T36)</f>
        <v>0</v>
      </c>
      <c r="E34" s="1228">
        <f>'t12'!C34/12</f>
        <v>0</v>
      </c>
      <c r="F34" s="337">
        <f>'t3'!M34+'t3'!N34+'t3'!O34+'t3'!P34+'t3'!Q34+'t3'!R34</f>
        <v>0</v>
      </c>
      <c r="G34" s="358" t="str">
        <f t="shared" si="0"/>
        <v>OK</v>
      </c>
      <c r="H34" s="358" t="str">
        <f t="shared" si="1"/>
        <v>OK</v>
      </c>
      <c r="I34" s="706" t="str">
        <f>IF(H34="KO",($H$5&amp;(('t12'!C34/12*273)+(('t3'!M34+'t3'!N34+'t3'!O34+'t3'!P34+'t3'!Q34+'t3'!R34)*273))&amp;")"),"")</f>
        <v/>
      </c>
    </row>
    <row r="35" spans="1:9" ht="13.2">
      <c r="A35" s="139" t="str">
        <f>'t1'!A35</f>
        <v>POSIZ. ECON. B5 PROFILI ACCESSO B3</v>
      </c>
      <c r="B35" s="318" t="str">
        <f>'t1'!B35</f>
        <v>037492</v>
      </c>
      <c r="C35" s="337">
        <f>'t11'!U37+'t11'!V37</f>
        <v>0</v>
      </c>
      <c r="D35" s="994">
        <f>(C35-'t11'!Q37-'t11'!R37-'t11'!S37-'t11'!T37)</f>
        <v>0</v>
      </c>
      <c r="E35" s="1228">
        <f>'t12'!C35/12</f>
        <v>0</v>
      </c>
      <c r="F35" s="337">
        <f>'t3'!M35+'t3'!N35+'t3'!O35+'t3'!P35+'t3'!Q35+'t3'!R35</f>
        <v>0</v>
      </c>
      <c r="G35" s="358" t="str">
        <f t="shared" si="0"/>
        <v>OK</v>
      </c>
      <c r="H35" s="358" t="str">
        <f t="shared" si="1"/>
        <v>OK</v>
      </c>
      <c r="I35" s="706" t="str">
        <f>IF(H35="KO",($H$5&amp;(('t12'!C35/12*273)+(('t3'!M35+'t3'!N35+'t3'!O35+'t3'!P35+'t3'!Q35+'t3'!R35)*273))&amp;")"),"")</f>
        <v/>
      </c>
    </row>
    <row r="36" spans="1:9" ht="13.2">
      <c r="A36" s="139" t="str">
        <f>'t1'!A36</f>
        <v>POSIZ. ECON. B5 PROFILI ACCESSO B1</v>
      </c>
      <c r="B36" s="318" t="str">
        <f>'t1'!B36</f>
        <v>037493</v>
      </c>
      <c r="C36" s="337">
        <f>'t11'!U38+'t11'!V38</f>
        <v>0</v>
      </c>
      <c r="D36" s="994">
        <f>(C36-'t11'!Q38-'t11'!R38-'t11'!S38-'t11'!T38)</f>
        <v>0</v>
      </c>
      <c r="E36" s="1228">
        <f>'t12'!C36/12</f>
        <v>0</v>
      </c>
      <c r="F36" s="337">
        <f>'t3'!M36+'t3'!N36+'t3'!O36+'t3'!P36+'t3'!Q36+'t3'!R36</f>
        <v>0</v>
      </c>
      <c r="G36" s="358" t="str">
        <f t="shared" si="0"/>
        <v>OK</v>
      </c>
      <c r="H36" s="358" t="str">
        <f t="shared" si="1"/>
        <v>OK</v>
      </c>
      <c r="I36" s="706" t="str">
        <f>IF(H36="KO",($H$5&amp;(('t12'!C36/12*273)+(('t3'!M36+'t3'!N36+'t3'!O36+'t3'!P36+'t3'!Q36+'t3'!R36)*273))&amp;")"),"")</f>
        <v/>
      </c>
    </row>
    <row r="37" spans="1:9" ht="13.2">
      <c r="A37" s="139" t="str">
        <f>'t1'!A37</f>
        <v>POSIZ. ECON. B4 PROFILI ACCESSO B3</v>
      </c>
      <c r="B37" s="318" t="str">
        <f>'t1'!B37</f>
        <v>036494</v>
      </c>
      <c r="C37" s="337">
        <f>'t11'!U39+'t11'!V39</f>
        <v>0</v>
      </c>
      <c r="D37" s="994">
        <f>(C37-'t11'!Q39-'t11'!R39-'t11'!S39-'t11'!T39)</f>
        <v>0</v>
      </c>
      <c r="E37" s="1228">
        <f>'t12'!C37/12</f>
        <v>0</v>
      </c>
      <c r="F37" s="337">
        <f>'t3'!M37+'t3'!N37+'t3'!O37+'t3'!P37+'t3'!Q37+'t3'!R37</f>
        <v>0</v>
      </c>
      <c r="G37" s="358" t="str">
        <f t="shared" si="0"/>
        <v>OK</v>
      </c>
      <c r="H37" s="358" t="str">
        <f t="shared" si="1"/>
        <v>OK</v>
      </c>
      <c r="I37" s="706" t="str">
        <f>IF(H37="KO",($H$5&amp;(('t12'!C37/12*273)+(('t3'!M37+'t3'!N37+'t3'!O37+'t3'!P37+'t3'!Q37+'t3'!R37)*273))&amp;")"),"")</f>
        <v/>
      </c>
    </row>
    <row r="38" spans="1:9" ht="13.2">
      <c r="A38" s="139" t="str">
        <f>'t1'!A38</f>
        <v>POSIZ. ECON. B4 PROFILI ACCESSO B1</v>
      </c>
      <c r="B38" s="318" t="str">
        <f>'t1'!B38</f>
        <v>036495</v>
      </c>
      <c r="C38" s="337">
        <f>'t11'!U40+'t11'!V40</f>
        <v>0</v>
      </c>
      <c r="D38" s="994">
        <f>(C38-'t11'!Q40-'t11'!R40-'t11'!S40-'t11'!T40)</f>
        <v>0</v>
      </c>
      <c r="E38" s="1228">
        <f>'t12'!C38/12</f>
        <v>0</v>
      </c>
      <c r="F38" s="337">
        <f>'t3'!M38+'t3'!N38+'t3'!O38+'t3'!P38+'t3'!Q38+'t3'!R38</f>
        <v>0</v>
      </c>
      <c r="G38" s="358" t="str">
        <f t="shared" si="0"/>
        <v>OK</v>
      </c>
      <c r="H38" s="358" t="str">
        <f t="shared" si="1"/>
        <v>OK</v>
      </c>
      <c r="I38" s="706" t="str">
        <f>IF(H38="KO",($H$5&amp;(('t12'!C38/12*273)+(('t3'!M38+'t3'!N38+'t3'!O38+'t3'!P38+'t3'!Q38+'t3'!R38)*273))&amp;")"),"")</f>
        <v/>
      </c>
    </row>
    <row r="39" spans="1:9" ht="13.2">
      <c r="A39" s="139" t="str">
        <f>'t1'!A39</f>
        <v>POSIZIONE ECONOMICA DI ACCESSO B3</v>
      </c>
      <c r="B39" s="318" t="str">
        <f>'t1'!B39</f>
        <v>055000</v>
      </c>
      <c r="C39" s="337">
        <f>'t11'!U41+'t11'!V41</f>
        <v>0</v>
      </c>
      <c r="D39" s="994">
        <f>(C39-'t11'!Q41-'t11'!R41-'t11'!S41-'t11'!T41)</f>
        <v>0</v>
      </c>
      <c r="E39" s="1228">
        <f>'t12'!C39/12</f>
        <v>0</v>
      </c>
      <c r="F39" s="337">
        <f>'t3'!M39+'t3'!N39+'t3'!O39+'t3'!P39+'t3'!Q39+'t3'!R39</f>
        <v>0</v>
      </c>
      <c r="G39" s="358" t="str">
        <f t="shared" si="0"/>
        <v>OK</v>
      </c>
      <c r="H39" s="358" t="str">
        <f t="shared" si="1"/>
        <v>OK</v>
      </c>
      <c r="I39" s="706" t="str">
        <f>IF(H39="KO",($H$5&amp;(('t12'!C39/12*273)+(('t3'!M39+'t3'!N39+'t3'!O39+'t3'!P39+'t3'!Q39+'t3'!R39)*273))&amp;")"),"")</f>
        <v/>
      </c>
    </row>
    <row r="40" spans="1:9" ht="13.2">
      <c r="A40" s="139" t="str">
        <f>'t1'!A40</f>
        <v>POSIZIONE ECONOMICA B3</v>
      </c>
      <c r="B40" s="318" t="str">
        <f>'t1'!B40</f>
        <v>034000</v>
      </c>
      <c r="C40" s="337">
        <f>'t11'!U42+'t11'!V42</f>
        <v>0</v>
      </c>
      <c r="D40" s="994">
        <f>(C40-'t11'!Q42-'t11'!R42-'t11'!S42-'t11'!T42)</f>
        <v>0</v>
      </c>
      <c r="E40" s="1228">
        <f>'t12'!C40/12</f>
        <v>0</v>
      </c>
      <c r="F40" s="337">
        <f>'t3'!M40+'t3'!N40+'t3'!O40+'t3'!P40+'t3'!Q40+'t3'!R40</f>
        <v>0</v>
      </c>
      <c r="G40" s="358" t="str">
        <f t="shared" si="0"/>
        <v>OK</v>
      </c>
      <c r="H40" s="358" t="str">
        <f t="shared" si="1"/>
        <v>OK</v>
      </c>
      <c r="I40" s="706" t="str">
        <f>IF(H40="KO",($H$5&amp;(('t12'!C40/12*273)+(('t3'!M40+'t3'!N40+'t3'!O40+'t3'!P40+'t3'!Q40+'t3'!R40)*273))&amp;")"),"")</f>
        <v/>
      </c>
    </row>
    <row r="41" spans="1:9" ht="13.2">
      <c r="A41" s="139" t="str">
        <f>'t1'!A41</f>
        <v>POSIZIONE ECONOMICA B2</v>
      </c>
      <c r="B41" s="318" t="str">
        <f>'t1'!B41</f>
        <v>032000</v>
      </c>
      <c r="C41" s="337">
        <f>'t11'!U43+'t11'!V43</f>
        <v>0</v>
      </c>
      <c r="D41" s="994">
        <f>(C41-'t11'!Q43-'t11'!R43-'t11'!S43-'t11'!T43)</f>
        <v>0</v>
      </c>
      <c r="E41" s="1228">
        <f>'t12'!C41/12</f>
        <v>0</v>
      </c>
      <c r="F41" s="337">
        <f>'t3'!M41+'t3'!N41+'t3'!O41+'t3'!P41+'t3'!Q41+'t3'!R41</f>
        <v>0</v>
      </c>
      <c r="G41" s="358" t="str">
        <f t="shared" si="0"/>
        <v>OK</v>
      </c>
      <c r="H41" s="358" t="str">
        <f t="shared" si="1"/>
        <v>OK</v>
      </c>
      <c r="I41" s="706" t="str">
        <f>IF(H41="KO",($H$5&amp;(('t12'!C41/12*273)+(('t3'!M41+'t3'!N41+'t3'!O41+'t3'!P41+'t3'!Q41+'t3'!R41)*273))&amp;")"),"")</f>
        <v/>
      </c>
    </row>
    <row r="42" spans="1:9" ht="13.2">
      <c r="A42" s="139" t="str">
        <f>'t1'!A42</f>
        <v>POSIZIONE ECONOMICA DI ACCESSO B1</v>
      </c>
      <c r="B42" s="318" t="str">
        <f>'t1'!B42</f>
        <v>054000</v>
      </c>
      <c r="C42" s="337">
        <f>'t11'!U44+'t11'!V44</f>
        <v>0</v>
      </c>
      <c r="D42" s="994">
        <f>(C42-'t11'!Q44-'t11'!R44-'t11'!S44-'t11'!T44)</f>
        <v>0</v>
      </c>
      <c r="E42" s="1228">
        <f>'t12'!C42/12</f>
        <v>0</v>
      </c>
      <c r="F42" s="337">
        <f>'t3'!M42+'t3'!N42+'t3'!O42+'t3'!P42+'t3'!Q42+'t3'!R42</f>
        <v>0</v>
      </c>
      <c r="G42" s="358" t="str">
        <f t="shared" si="0"/>
        <v>OK</v>
      </c>
      <c r="H42" s="358" t="str">
        <f t="shared" si="1"/>
        <v>OK</v>
      </c>
      <c r="I42" s="706" t="str">
        <f>IF(H42="KO",($H$5&amp;(('t12'!C42/12*273)+(('t3'!M42+'t3'!N42+'t3'!O42+'t3'!P42+'t3'!Q42+'t3'!R42)*273))&amp;")"),"")</f>
        <v/>
      </c>
    </row>
    <row r="43" spans="1:9" ht="13.2">
      <c r="A43" s="139" t="str">
        <f>'t1'!A43</f>
        <v>POSIZIONE ECONOMICA A5</v>
      </c>
      <c r="B43" s="318" t="str">
        <f>'t1'!B43</f>
        <v>0A5000</v>
      </c>
      <c r="C43" s="337">
        <f>'t11'!U45+'t11'!V45</f>
        <v>0</v>
      </c>
      <c r="D43" s="994">
        <f>(C43-'t11'!Q45-'t11'!R45-'t11'!S45-'t11'!T45)</f>
        <v>0</v>
      </c>
      <c r="E43" s="1228">
        <f>'t12'!C43/12</f>
        <v>0</v>
      </c>
      <c r="F43" s="337">
        <f>'t3'!M43+'t3'!N43+'t3'!O43+'t3'!P43+'t3'!Q43+'t3'!R43</f>
        <v>0</v>
      </c>
      <c r="G43" s="358" t="str">
        <f t="shared" si="0"/>
        <v>OK</v>
      </c>
      <c r="H43" s="358" t="str">
        <f t="shared" si="1"/>
        <v>OK</v>
      </c>
      <c r="I43" s="706" t="str">
        <f>IF(H43="KO",($H$5&amp;(('t12'!C43/12*273)+(('t3'!M43+'t3'!N43+'t3'!O43+'t3'!P43+'t3'!Q43+'t3'!R43)*273))&amp;")"),"")</f>
        <v/>
      </c>
    </row>
    <row r="44" spans="1:9" ht="13.2">
      <c r="A44" s="139" t="str">
        <f>'t1'!A44</f>
        <v>POSIZIONE ECONOMICA A4</v>
      </c>
      <c r="B44" s="318" t="str">
        <f>'t1'!B44</f>
        <v>028000</v>
      </c>
      <c r="C44" s="337">
        <f>'t11'!U46+'t11'!V46</f>
        <v>0</v>
      </c>
      <c r="D44" s="994">
        <f>(C44-'t11'!Q46-'t11'!R46-'t11'!S46-'t11'!T46)</f>
        <v>0</v>
      </c>
      <c r="E44" s="1228">
        <f>'t12'!C44/12</f>
        <v>0</v>
      </c>
      <c r="F44" s="337">
        <f>'t3'!M44+'t3'!N44+'t3'!O44+'t3'!P44+'t3'!Q44+'t3'!R44</f>
        <v>0</v>
      </c>
      <c r="G44" s="358" t="str">
        <f t="shared" si="0"/>
        <v>OK</v>
      </c>
      <c r="H44" s="358" t="str">
        <f t="shared" si="1"/>
        <v>OK</v>
      </c>
      <c r="I44" s="706" t="str">
        <f>IF(H44="KO",($H$5&amp;(('t12'!C44/12*273)+(('t3'!M44+'t3'!N44+'t3'!O44+'t3'!P44+'t3'!Q44+'t3'!R44)*273))&amp;")"),"")</f>
        <v/>
      </c>
    </row>
    <row r="45" spans="1:9" ht="13.2">
      <c r="A45" s="139" t="str">
        <f>'t1'!A45</f>
        <v>POSIZIONE ECONOMICA A3</v>
      </c>
      <c r="B45" s="318" t="str">
        <f>'t1'!B45</f>
        <v>027000</v>
      </c>
      <c r="C45" s="337">
        <f>'t11'!U47+'t11'!V47</f>
        <v>0</v>
      </c>
      <c r="D45" s="994">
        <f>(C45-'t11'!Q47-'t11'!R47-'t11'!S47-'t11'!T47)</f>
        <v>0</v>
      </c>
      <c r="E45" s="1228">
        <f>'t12'!C45/12</f>
        <v>0</v>
      </c>
      <c r="F45" s="337">
        <f>'t3'!M45+'t3'!N45+'t3'!O45+'t3'!P45+'t3'!Q45+'t3'!R45</f>
        <v>0</v>
      </c>
      <c r="G45" s="358" t="str">
        <f t="shared" si="0"/>
        <v>OK</v>
      </c>
      <c r="H45" s="358" t="str">
        <f t="shared" si="1"/>
        <v>OK</v>
      </c>
      <c r="I45" s="706" t="str">
        <f>IF(H45="KO",($H$5&amp;(('t12'!C45/12*273)+(('t3'!M45+'t3'!N45+'t3'!O45+'t3'!P45+'t3'!Q45+'t3'!R45)*273))&amp;")"),"")</f>
        <v/>
      </c>
    </row>
    <row r="46" spans="1:9" ht="13.2">
      <c r="A46" s="139" t="str">
        <f>'t1'!A46</f>
        <v>POSIZIONE ECONOMICA A2</v>
      </c>
      <c r="B46" s="318" t="str">
        <f>'t1'!B46</f>
        <v>025000</v>
      </c>
      <c r="C46" s="337">
        <f>'t11'!U48+'t11'!V48</f>
        <v>0</v>
      </c>
      <c r="D46" s="994">
        <f>(C46-'t11'!Q48-'t11'!R48-'t11'!S48-'t11'!T48)</f>
        <v>0</v>
      </c>
      <c r="E46" s="1228">
        <f>'t12'!C46/12</f>
        <v>0</v>
      </c>
      <c r="F46" s="337">
        <f>'t3'!M46+'t3'!N46+'t3'!O46+'t3'!P46+'t3'!Q46+'t3'!R46</f>
        <v>0</v>
      </c>
      <c r="G46" s="358" t="str">
        <f t="shared" si="0"/>
        <v>OK</v>
      </c>
      <c r="H46" s="358" t="str">
        <f t="shared" si="1"/>
        <v>OK</v>
      </c>
      <c r="I46" s="706" t="str">
        <f>IF(H46="KO",($H$5&amp;(('t12'!C46/12*273)+(('t3'!M46+'t3'!N46+'t3'!O46+'t3'!P46+'t3'!Q46+'t3'!R46)*273))&amp;")"),"")</f>
        <v/>
      </c>
    </row>
    <row r="47" spans="1:9" ht="13.2">
      <c r="A47" s="139" t="str">
        <f>'t1'!A47</f>
        <v>POSIZIONE ECONOMICA DI ACCESSO A1</v>
      </c>
      <c r="B47" s="318" t="str">
        <f>'t1'!B47</f>
        <v>053000</v>
      </c>
      <c r="C47" s="337">
        <f>'t11'!U49+'t11'!V49</f>
        <v>0</v>
      </c>
      <c r="D47" s="994">
        <f>(C47-'t11'!Q49-'t11'!R49-'t11'!S49-'t11'!T49)</f>
        <v>0</v>
      </c>
      <c r="E47" s="1228">
        <f>'t12'!C47/12</f>
        <v>0</v>
      </c>
      <c r="F47" s="337">
        <f>'t3'!M47+'t3'!N47+'t3'!O47+'t3'!P47+'t3'!Q47+'t3'!R47</f>
        <v>0</v>
      </c>
      <c r="G47" s="358" t="str">
        <f t="shared" si="0"/>
        <v>OK</v>
      </c>
      <c r="H47" s="358" t="str">
        <f t="shared" si="1"/>
        <v>OK</v>
      </c>
      <c r="I47" s="706" t="str">
        <f>IF(H47="KO",($H$5&amp;(('t12'!C47/12*273)+(('t3'!M47+'t3'!N47+'t3'!O47+'t3'!P47+'t3'!Q47+'t3'!R47)*273))&amp;")"),"")</f>
        <v/>
      </c>
    </row>
    <row r="48" spans="1:9" ht="13.2">
      <c r="A48" s="139" t="str">
        <f>'t1'!A48</f>
        <v>CONTRATTISTI (a)</v>
      </c>
      <c r="B48" s="318" t="str">
        <f>'t1'!B48</f>
        <v>000061</v>
      </c>
      <c r="C48" s="337">
        <f>'t11'!U50+'t11'!V50</f>
        <v>0</v>
      </c>
      <c r="D48" s="994">
        <f>(C48-'t11'!Q50-'t11'!R50-'t11'!S50-'t11'!T50)</f>
        <v>0</v>
      </c>
      <c r="E48" s="1228">
        <f>'t12'!C48/12</f>
        <v>0</v>
      </c>
      <c r="F48" s="337">
        <f>'t3'!M48+'t3'!N48+'t3'!O48+'t3'!P48+'t3'!Q48+'t3'!R48</f>
        <v>0</v>
      </c>
      <c r="G48" s="358" t="str">
        <f t="shared" si="0"/>
        <v>OK</v>
      </c>
      <c r="H48" s="358" t="str">
        <f t="shared" si="1"/>
        <v>OK</v>
      </c>
      <c r="I48" s="706" t="str">
        <f>IF(H48="KO",($H$5&amp;(('t12'!C48/12*273)+(('t3'!M48+'t3'!N48+'t3'!O48+'t3'!P48+'t3'!Q48+'t3'!R48)*273))&amp;")"),"")</f>
        <v/>
      </c>
    </row>
    <row r="49" spans="1:9" ht="13.2">
      <c r="A49" s="139" t="str">
        <f>'t1'!A49</f>
        <v>COLLABORATORE A T.D. ART. 90 TUEL (b)</v>
      </c>
      <c r="B49" s="318" t="str">
        <f>'t1'!B49</f>
        <v>000096</v>
      </c>
      <c r="C49" s="337">
        <f>'t11'!U51+'t11'!V51</f>
        <v>0</v>
      </c>
      <c r="D49" s="994">
        <f>(C49-'t11'!Q51-'t11'!R51-'t11'!S51-'t11'!T51)</f>
        <v>0</v>
      </c>
      <c r="E49" s="1228">
        <f>'t12'!C49/12</f>
        <v>0</v>
      </c>
      <c r="F49" s="337">
        <f>'t3'!M49+'t3'!N49+'t3'!O49+'t3'!P49+'t3'!Q49+'t3'!R49</f>
        <v>0</v>
      </c>
      <c r="G49" s="358" t="str">
        <f t="shared" si="0"/>
        <v>OK</v>
      </c>
      <c r="H49" s="358" t="str">
        <f t="shared" si="1"/>
        <v>OK</v>
      </c>
      <c r="I49" s="706" t="str">
        <f>IF(H49="KO",($H$5&amp;(('t12'!C49/12*273)+(('t3'!M49+'t3'!N49+'t3'!O49+'t3'!P49+'t3'!Q49+'t3'!R49)*273))&amp;")"),"")</f>
        <v/>
      </c>
    </row>
  </sheetData>
  <sheetProtection password="EA98" sheet="1" formatColumns="0" selectLockedCells="1" selectUnlockedCells="1"/>
  <mergeCells count="3">
    <mergeCell ref="D2:G2"/>
    <mergeCell ref="A3:I3"/>
    <mergeCell ref="A1:I1"/>
  </mergeCells>
  <printOptions horizontalCentered="1"/>
  <pageMargins left="0.2" right="0.2" top="0.19685039370078741" bottom="0.15748031496062992" header="0.15748031496062992" footer="0.1574803149606299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37">
    <pageSetUpPr fitToPage="1"/>
  </sheetPr>
  <dimension ref="A1:N181"/>
  <sheetViews>
    <sheetView zoomScale="70" zoomScaleNormal="70" workbookViewId="0">
      <selection activeCell="F6" sqref="F6"/>
    </sheetView>
  </sheetViews>
  <sheetFormatPr defaultColWidth="12.85546875" defaultRowHeight="15"/>
  <cols>
    <col min="1" max="1" width="6.85546875" style="655" customWidth="1"/>
    <col min="2" max="2" width="25.85546875" style="662" customWidth="1"/>
    <col min="3" max="3" width="5.42578125" style="662" customWidth="1"/>
    <col min="4" max="4" width="56.140625" style="662" customWidth="1"/>
    <col min="5" max="5" width="22.42578125" style="662" customWidth="1"/>
    <col min="6" max="6" width="23.140625" style="662" customWidth="1"/>
    <col min="7" max="7" width="21.42578125" style="662" customWidth="1"/>
    <col min="8" max="8" width="89.85546875" style="839" customWidth="1"/>
    <col min="9" max="9" width="5.140625" style="618" hidden="1" customWidth="1"/>
    <col min="10" max="10" width="11.140625" style="615" hidden="1" customWidth="1"/>
    <col min="11" max="11" width="12.85546875" style="615" hidden="1" customWidth="1"/>
    <col min="12" max="14" width="12.85546875" style="615" customWidth="1"/>
    <col min="15" max="16384" width="12.85546875" style="615"/>
  </cols>
  <sheetData>
    <row r="1" spans="1:14" ht="62.25" customHeight="1">
      <c r="B1" s="656"/>
      <c r="C1" s="656"/>
      <c r="D1" s="656"/>
      <c r="E1" s="656"/>
      <c r="F1" s="656"/>
      <c r="G1" s="656"/>
      <c r="H1" s="829" t="s">
        <v>422</v>
      </c>
      <c r="I1" s="566"/>
    </row>
    <row r="2" spans="1:14" ht="26.25" customHeight="1" thickBot="1">
      <c r="A2" s="657"/>
      <c r="B2" s="658"/>
      <c r="C2" s="658"/>
      <c r="D2" s="560" t="str">
        <f>'t1'!A1</f>
        <v>COMPARTO REGIONI ED AUTONOMIE LOCALI - anno 2017</v>
      </c>
      <c r="E2" s="658"/>
      <c r="F2" s="658"/>
      <c r="G2" s="658"/>
      <c r="H2" s="830"/>
      <c r="I2" s="566"/>
    </row>
    <row r="3" spans="1:14">
      <c r="B3" s="556"/>
      <c r="C3" s="556"/>
      <c r="D3" s="556"/>
      <c r="E3" s="556"/>
      <c r="F3" s="556"/>
      <c r="G3" s="556"/>
      <c r="H3" s="831"/>
      <c r="I3" s="566"/>
    </row>
    <row r="4" spans="1:14">
      <c r="B4" s="552"/>
      <c r="C4" s="551"/>
      <c r="D4" s="552"/>
      <c r="E4" s="552"/>
      <c r="F4" s="570" t="s">
        <v>101</v>
      </c>
      <c r="G4" s="552"/>
      <c r="H4" s="831"/>
      <c r="I4" s="566"/>
    </row>
    <row r="5" spans="1:14" hidden="1">
      <c r="B5" s="552"/>
      <c r="C5" s="551"/>
      <c r="D5" s="552"/>
      <c r="E5" s="552"/>
      <c r="F5" s="577"/>
      <c r="G5" s="552"/>
      <c r="H5" s="831"/>
      <c r="I5" s="566"/>
    </row>
    <row r="6" spans="1:14" ht="17.25" customHeight="1">
      <c r="A6" s="655" t="s">
        <v>348</v>
      </c>
      <c r="B6" s="557" t="s">
        <v>429</v>
      </c>
      <c r="C6" s="659"/>
      <c r="D6" s="656"/>
      <c r="E6" s="656"/>
      <c r="F6" s="589"/>
      <c r="G6" s="843" t="str">
        <f>IF(F6=0,"RISPOSTA OBBLIGATORIA","")</f>
        <v>RISPOSTA OBBLIGATORIA</v>
      </c>
      <c r="H6" s="831"/>
      <c r="I6" s="566"/>
    </row>
    <row r="7" spans="1:14" ht="17.25" customHeight="1">
      <c r="B7" s="552"/>
      <c r="C7" s="551"/>
      <c r="D7" s="552"/>
      <c r="E7" s="552"/>
      <c r="F7" s="552"/>
      <c r="G7" s="552"/>
      <c r="H7" s="831"/>
      <c r="I7" s="566"/>
    </row>
    <row r="8" spans="1:14" ht="15" customHeight="1">
      <c r="A8" s="655" t="s">
        <v>349</v>
      </c>
      <c r="B8" s="585" t="s">
        <v>430</v>
      </c>
      <c r="C8" s="551"/>
      <c r="D8" s="552"/>
      <c r="E8" s="552"/>
      <c r="F8" s="589"/>
      <c r="G8" s="843" t="str">
        <f>IF(F8=0,"RISPOSTA OBBLIGATORIA","")</f>
        <v>RISPOSTA OBBLIGATORIA</v>
      </c>
      <c r="H8" s="831"/>
      <c r="I8" s="566"/>
    </row>
    <row r="9" spans="1:14" ht="15" customHeight="1">
      <c r="B9" s="586"/>
      <c r="C9" s="551"/>
      <c r="D9" s="552"/>
      <c r="E9" s="552"/>
      <c r="F9" s="552"/>
      <c r="G9" s="552"/>
      <c r="H9" s="831"/>
      <c r="I9" s="566"/>
    </row>
    <row r="10" spans="1:14" ht="17.25" customHeight="1">
      <c r="B10" s="552"/>
      <c r="C10" s="551"/>
      <c r="D10" s="552"/>
      <c r="E10" s="552"/>
      <c r="F10" s="570" t="s">
        <v>313</v>
      </c>
      <c r="G10" s="570" t="s">
        <v>314</v>
      </c>
      <c r="H10" s="831"/>
      <c r="I10" s="566"/>
    </row>
    <row r="11" spans="1:14" ht="20.25" customHeight="1">
      <c r="A11" s="655" t="s">
        <v>355</v>
      </c>
      <c r="B11" s="558" t="s">
        <v>428</v>
      </c>
      <c r="C11" s="551"/>
      <c r="D11" s="552"/>
      <c r="E11" s="552"/>
      <c r="F11" s="521"/>
      <c r="G11" s="521"/>
      <c r="H11" s="720" t="str">
        <f>IF(I11=0,"RISPOSTA OBBLIGATORIA","")</f>
        <v>RISPOSTA OBBLIGATORIA</v>
      </c>
      <c r="I11" s="566">
        <v>0</v>
      </c>
      <c r="J11" s="615" t="str">
        <f>IF(I11=1,"VERO",IF(I11=2,"FALSO",""))</f>
        <v/>
      </c>
      <c r="N11" s="617"/>
    </row>
    <row r="12" spans="1:14" ht="15" customHeight="1">
      <c r="A12" s="588"/>
      <c r="B12" s="588"/>
      <c r="C12" s="588"/>
      <c r="D12" s="588"/>
      <c r="E12" s="588"/>
      <c r="F12" s="588"/>
      <c r="G12" s="588"/>
      <c r="H12" s="833"/>
      <c r="I12" s="475"/>
    </row>
    <row r="13" spans="1:14" ht="15" customHeight="1">
      <c r="B13" s="656"/>
      <c r="C13" s="656"/>
      <c r="D13" s="656"/>
      <c r="E13" s="656"/>
      <c r="F13" s="570" t="s">
        <v>313</v>
      </c>
      <c r="G13" s="570" t="s">
        <v>314</v>
      </c>
      <c r="H13" s="831"/>
      <c r="I13" s="566"/>
    </row>
    <row r="14" spans="1:14" ht="20.25" hidden="1" customHeight="1">
      <c r="B14" s="558"/>
      <c r="C14" s="552"/>
      <c r="D14" s="578"/>
      <c r="E14" s="578"/>
      <c r="F14" s="608"/>
      <c r="G14" s="608"/>
      <c r="H14" s="720"/>
      <c r="I14" s="566">
        <v>0</v>
      </c>
    </row>
    <row r="15" spans="1:14" ht="15" hidden="1" customHeight="1">
      <c r="B15" s="656"/>
      <c r="C15" s="656"/>
      <c r="D15" s="656"/>
      <c r="E15" s="656"/>
      <c r="F15" s="679"/>
      <c r="G15" s="679"/>
      <c r="H15" s="831"/>
      <c r="I15" s="566"/>
    </row>
    <row r="16" spans="1:14" ht="20.25" hidden="1" customHeight="1">
      <c r="B16" s="579"/>
      <c r="C16" s="656"/>
      <c r="D16" s="656"/>
      <c r="E16" s="656"/>
      <c r="F16" s="844"/>
      <c r="G16" s="844"/>
      <c r="H16" s="720"/>
      <c r="I16" s="566"/>
      <c r="N16" s="617"/>
    </row>
    <row r="17" spans="1:14" ht="15" hidden="1" customHeight="1">
      <c r="B17" s="656"/>
      <c r="C17" s="656"/>
      <c r="D17" s="656"/>
      <c r="E17" s="656"/>
      <c r="F17" s="656"/>
      <c r="G17" s="656"/>
      <c r="H17" s="831"/>
      <c r="I17" s="566"/>
    </row>
    <row r="18" spans="1:14" ht="43.5" customHeight="1">
      <c r="A18" s="655" t="s">
        <v>350</v>
      </c>
      <c r="B18" s="1368" t="s">
        <v>1067</v>
      </c>
      <c r="C18" s="1369"/>
      <c r="D18" s="1369"/>
      <c r="E18" s="1369"/>
      <c r="F18" s="521"/>
      <c r="G18" s="521"/>
      <c r="H18" s="720" t="str">
        <f>IF(I18=0,"RISPOSTA OBBLIGATORIA","")</f>
        <v>RISPOSTA OBBLIGATORIA</v>
      </c>
      <c r="I18" s="566">
        <v>0</v>
      </c>
      <c r="J18" s="615" t="str">
        <f>IF(I18=1,"VERO",IF(I18=2,"FALSO",""))</f>
        <v/>
      </c>
      <c r="N18" s="617"/>
    </row>
    <row r="19" spans="1:14" ht="15" customHeight="1">
      <c r="B19" s="656"/>
      <c r="C19" s="656"/>
      <c r="D19" s="656"/>
      <c r="E19" s="656"/>
      <c r="F19" s="656"/>
      <c r="G19" s="656"/>
      <c r="H19" s="831"/>
      <c r="I19" s="566"/>
    </row>
    <row r="20" spans="1:14" ht="43.5" customHeight="1">
      <c r="A20" s="655" t="s">
        <v>351</v>
      </c>
      <c r="B20" s="1370" t="s">
        <v>1058</v>
      </c>
      <c r="C20" s="1371"/>
      <c r="D20" s="1371"/>
      <c r="E20" s="1371"/>
      <c r="F20" s="521"/>
      <c r="G20" s="521"/>
      <c r="H20" s="720" t="str">
        <f>IF(I20=0,"RISPOSTA OBBLIGATORIA","")</f>
        <v>RISPOSTA OBBLIGATORIA</v>
      </c>
      <c r="I20" s="566">
        <v>0</v>
      </c>
      <c r="J20" s="615" t="str">
        <f>IF(I20=1,"VERO",IF(I20=2,"FALSO",""))</f>
        <v/>
      </c>
      <c r="N20" s="617"/>
    </row>
    <row r="21" spans="1:14" ht="15" customHeight="1">
      <c r="B21" s="552"/>
      <c r="C21" s="656"/>
      <c r="D21" s="656"/>
      <c r="E21" s="656"/>
      <c r="F21" s="656"/>
      <c r="G21" s="656"/>
      <c r="H21" s="831"/>
      <c r="I21" s="566"/>
    </row>
    <row r="22" spans="1:14" ht="29.25" customHeight="1">
      <c r="A22" s="655" t="s">
        <v>354</v>
      </c>
      <c r="B22" s="1370" t="s">
        <v>724</v>
      </c>
      <c r="C22" s="1371"/>
      <c r="D22" s="1371"/>
      <c r="E22" s="1371"/>
      <c r="F22" s="521"/>
      <c r="G22" s="521"/>
      <c r="H22" s="720" t="str">
        <f>IF(I22=0,"RISPOSTA OBBLIGATORIA","")</f>
        <v>RISPOSTA OBBLIGATORIA</v>
      </c>
      <c r="I22" s="566">
        <v>0</v>
      </c>
      <c r="J22" s="615" t="str">
        <f>IF(I22=1,"VERO",IF(I22=2,"FALSO",""))</f>
        <v/>
      </c>
      <c r="N22" s="617"/>
    </row>
    <row r="23" spans="1:14" ht="15" customHeight="1">
      <c r="B23" s="552"/>
      <c r="C23" s="656"/>
      <c r="D23" s="656"/>
      <c r="E23" s="656"/>
      <c r="F23" s="656"/>
      <c r="G23" s="656"/>
      <c r="H23" s="831"/>
      <c r="I23" s="566"/>
    </row>
    <row r="24" spans="1:14" ht="20.25" hidden="1" customHeight="1">
      <c r="B24" s="579"/>
      <c r="C24" s="656"/>
      <c r="D24" s="656"/>
      <c r="E24" s="656"/>
      <c r="F24" s="521"/>
      <c r="G24" s="521"/>
      <c r="H24" s="720"/>
      <c r="I24" s="566">
        <v>0</v>
      </c>
      <c r="N24" s="617"/>
    </row>
    <row r="25" spans="1:14" ht="15" hidden="1" customHeight="1">
      <c r="B25" s="656"/>
      <c r="C25" s="558"/>
      <c r="D25" s="656"/>
      <c r="E25" s="656"/>
      <c r="F25" s="570"/>
      <c r="G25" s="656"/>
      <c r="H25" s="831"/>
      <c r="I25" s="566"/>
    </row>
    <row r="26" spans="1:14" ht="15" hidden="1" customHeight="1">
      <c r="B26" s="656"/>
      <c r="C26" s="656"/>
      <c r="D26" s="552"/>
      <c r="E26" s="656"/>
      <c r="F26" s="575"/>
      <c r="G26" s="1392"/>
      <c r="H26" s="1393"/>
      <c r="I26" s="566">
        <v>0</v>
      </c>
    </row>
    <row r="27" spans="1:14" ht="15" hidden="1" customHeight="1">
      <c r="B27" s="656"/>
      <c r="C27" s="656"/>
      <c r="D27" s="552"/>
      <c r="E27" s="656"/>
      <c r="F27" s="575"/>
      <c r="G27" s="1394"/>
      <c r="H27" s="1393"/>
      <c r="I27" s="566"/>
    </row>
    <row r="28" spans="1:14" ht="15" hidden="1" customHeight="1">
      <c r="B28" s="656"/>
      <c r="C28" s="656"/>
      <c r="D28" s="552"/>
      <c r="E28" s="656"/>
      <c r="F28" s="575"/>
      <c r="G28" s="1394"/>
      <c r="H28" s="1393"/>
      <c r="I28" s="566"/>
    </row>
    <row r="29" spans="1:14" ht="15" hidden="1" customHeight="1">
      <c r="B29" s="656"/>
      <c r="C29" s="656"/>
      <c r="D29" s="552"/>
      <c r="E29" s="656"/>
      <c r="F29" s="575"/>
      <c r="G29" s="1394"/>
      <c r="H29" s="1393"/>
      <c r="I29" s="566"/>
    </row>
    <row r="30" spans="1:14" ht="15" hidden="1" customHeight="1">
      <c r="B30" s="656"/>
      <c r="C30" s="656"/>
      <c r="D30" s="656"/>
      <c r="E30" s="656"/>
      <c r="F30" s="656"/>
      <c r="G30" s="656"/>
      <c r="H30" s="831"/>
      <c r="I30" s="566"/>
    </row>
    <row r="31" spans="1:14" ht="15" hidden="1" customHeight="1">
      <c r="B31" s="656"/>
      <c r="C31" s="656"/>
      <c r="D31" s="656"/>
      <c r="E31" s="656"/>
      <c r="F31" s="570" t="s">
        <v>313</v>
      </c>
      <c r="G31" s="570" t="s">
        <v>314</v>
      </c>
      <c r="H31" s="831"/>
      <c r="I31" s="566"/>
    </row>
    <row r="32" spans="1:14" ht="30.75" customHeight="1">
      <c r="A32" s="655" t="s">
        <v>357</v>
      </c>
      <c r="B32" s="1389" t="s">
        <v>2</v>
      </c>
      <c r="C32" s="1389"/>
      <c r="D32" s="1389"/>
      <c r="E32" s="1390"/>
      <c r="F32" s="521"/>
      <c r="G32" s="521"/>
      <c r="H32" s="720" t="str">
        <f>IF(I32=0,"RISPOSTA OBBLIGATORIA","")</f>
        <v>RISPOSTA OBBLIGATORIA</v>
      </c>
      <c r="I32" s="566">
        <v>0</v>
      </c>
      <c r="J32" s="615" t="str">
        <f>IF(I32=1,"VERO",IF(I32=2,"FALSO",""))</f>
        <v/>
      </c>
      <c r="N32" s="617"/>
    </row>
    <row r="33" spans="1:14" ht="15" customHeight="1">
      <c r="B33" s="656"/>
      <c r="C33" s="656"/>
      <c r="D33" s="656"/>
      <c r="E33" s="656"/>
      <c r="F33" s="656"/>
      <c r="G33" s="656"/>
      <c r="H33" s="831"/>
      <c r="I33" s="566"/>
    </row>
    <row r="34" spans="1:14" ht="20.25" customHeight="1">
      <c r="A34" s="655" t="s">
        <v>423</v>
      </c>
      <c r="B34" s="579" t="s">
        <v>458</v>
      </c>
      <c r="C34" s="656"/>
      <c r="D34" s="656"/>
      <c r="E34" s="656"/>
      <c r="F34" s="521"/>
      <c r="G34" s="521"/>
      <c r="H34" s="720" t="str">
        <f>IF(I34=0,"RISPOSTA OBBLIGATORIA","")</f>
        <v>RISPOSTA OBBLIGATORIA</v>
      </c>
      <c r="I34" s="566">
        <v>0</v>
      </c>
      <c r="J34" s="615" t="str">
        <f>IF(I34=1,"VERO",IF(I34=2,"FALSO",""))</f>
        <v/>
      </c>
      <c r="N34" s="617"/>
    </row>
    <row r="35" spans="1:14" ht="15" customHeight="1">
      <c r="B35" s="656"/>
      <c r="C35" s="656"/>
      <c r="D35" s="656"/>
      <c r="E35" s="656"/>
      <c r="F35" s="656"/>
      <c r="G35" s="656"/>
      <c r="H35" s="831"/>
      <c r="I35" s="566"/>
    </row>
    <row r="36" spans="1:14" ht="15" customHeight="1">
      <c r="B36" s="656"/>
      <c r="C36" s="656"/>
      <c r="D36" s="656"/>
      <c r="E36" s="656"/>
      <c r="F36" s="570" t="s">
        <v>101</v>
      </c>
      <c r="G36" s="656"/>
      <c r="H36" s="831"/>
      <c r="I36" s="566"/>
    </row>
    <row r="37" spans="1:14" ht="33" customHeight="1">
      <c r="A37" s="655" t="s">
        <v>444</v>
      </c>
      <c r="B37" s="1366" t="s">
        <v>706</v>
      </c>
      <c r="C37" s="1369"/>
      <c r="D37" s="1369"/>
      <c r="E37" s="1374"/>
      <c r="F37" s="589"/>
      <c r="G37" s="1356" t="str">
        <f>IF(F37=0,"RISPOSTA OBBLIGATORIA","")</f>
        <v>RISPOSTA OBBLIGATORIA</v>
      </c>
      <c r="H37" s="1357"/>
      <c r="I37" s="566"/>
    </row>
    <row r="38" spans="1:14" ht="15" customHeight="1">
      <c r="B38" s="656"/>
      <c r="C38" s="656"/>
      <c r="D38" s="656"/>
      <c r="E38" s="656"/>
      <c r="F38" s="656"/>
      <c r="G38" s="656"/>
      <c r="H38" s="831"/>
      <c r="I38" s="566"/>
    </row>
    <row r="39" spans="1:14" ht="15" customHeight="1">
      <c r="B39" s="656"/>
      <c r="C39" s="656"/>
      <c r="D39" s="656"/>
      <c r="E39" s="656"/>
      <c r="F39" s="570" t="s">
        <v>100</v>
      </c>
      <c r="G39" s="656"/>
      <c r="H39" s="831"/>
      <c r="I39" s="566"/>
      <c r="M39" s="683"/>
    </row>
    <row r="40" spans="1:14" ht="15" hidden="1" customHeight="1">
      <c r="B40" s="557"/>
      <c r="C40" s="659"/>
      <c r="D40" s="656"/>
      <c r="E40" s="656"/>
      <c r="F40" s="575"/>
      <c r="G40" s="656"/>
      <c r="H40" s="831"/>
      <c r="I40" s="566"/>
    </row>
    <row r="41" spans="1:14" ht="15" hidden="1" customHeight="1">
      <c r="B41" s="656"/>
      <c r="C41" s="656"/>
      <c r="D41" s="656"/>
      <c r="E41" s="656"/>
      <c r="F41" s="656"/>
      <c r="G41" s="656"/>
      <c r="H41" s="831"/>
      <c r="I41" s="566"/>
    </row>
    <row r="42" spans="1:14" ht="15" hidden="1" customHeight="1">
      <c r="B42" s="558"/>
      <c r="C42" s="656"/>
      <c r="D42" s="656"/>
      <c r="E42" s="656"/>
      <c r="F42" s="575"/>
      <c r="G42" s="656"/>
      <c r="H42" s="831"/>
      <c r="I42" s="566"/>
    </row>
    <row r="43" spans="1:14" ht="15" hidden="1" customHeight="1">
      <c r="B43" s="656"/>
      <c r="C43" s="656"/>
      <c r="D43" s="656"/>
      <c r="E43" s="656"/>
      <c r="F43" s="656"/>
      <c r="G43" s="656"/>
      <c r="H43" s="831"/>
      <c r="I43" s="566"/>
    </row>
    <row r="44" spans="1:14" ht="28.5" customHeight="1">
      <c r="A44" s="655" t="s">
        <v>447</v>
      </c>
      <c r="B44" s="1368" t="s">
        <v>535</v>
      </c>
      <c r="C44" s="1369"/>
      <c r="D44" s="1369"/>
      <c r="E44" s="1374"/>
      <c r="F44" s="575">
        <v>0</v>
      </c>
      <c r="G44" s="1356" t="str">
        <f>IF(F44="","RISPOSTA OBBLIGATORIA","")</f>
        <v/>
      </c>
      <c r="H44" s="1357"/>
      <c r="I44" s="566"/>
    </row>
    <row r="45" spans="1:14" ht="15" customHeight="1">
      <c r="B45" s="656"/>
      <c r="C45" s="656"/>
      <c r="D45" s="656"/>
      <c r="E45" s="656"/>
      <c r="F45" s="564"/>
      <c r="G45" s="656"/>
      <c r="H45" s="831"/>
      <c r="I45" s="566"/>
    </row>
    <row r="46" spans="1:14" ht="15" customHeight="1">
      <c r="B46" s="656"/>
      <c r="C46" s="656"/>
      <c r="D46" s="656"/>
      <c r="E46" s="656"/>
      <c r="F46" s="570" t="s">
        <v>313</v>
      </c>
      <c r="G46" s="570" t="s">
        <v>314</v>
      </c>
      <c r="H46" s="831"/>
      <c r="I46" s="619"/>
    </row>
    <row r="47" spans="1:14" ht="31.2" customHeight="1">
      <c r="A47" s="655" t="s">
        <v>459</v>
      </c>
      <c r="B47" s="1366" t="s">
        <v>1053</v>
      </c>
      <c r="C47" s="1366"/>
      <c r="D47" s="1366"/>
      <c r="E47" s="1367"/>
      <c r="F47" s="711"/>
      <c r="G47" s="709"/>
      <c r="H47" s="720" t="str">
        <f>IF(I47=0,"RISPOSTA OBBLIGATORIA","")</f>
        <v>RISPOSTA OBBLIGATORIA</v>
      </c>
      <c r="I47" s="566">
        <v>0</v>
      </c>
      <c r="J47" s="615" t="str">
        <f>IF(I47=1,"VERO",IF(I47=2,"FALSO",""))</f>
        <v/>
      </c>
    </row>
    <row r="48" spans="1:14" ht="22.95" customHeight="1">
      <c r="B48" s="1233"/>
      <c r="C48" s="612" t="s">
        <v>1055</v>
      </c>
      <c r="D48" s="1233"/>
      <c r="E48" s="1233"/>
      <c r="F48" s="712"/>
      <c r="G48" s="708"/>
      <c r="H48" s="837"/>
      <c r="I48" s="566"/>
    </row>
    <row r="49" spans="1:10" ht="40.200000000000003" customHeight="1">
      <c r="B49" s="656">
        <v>23</v>
      </c>
      <c r="C49" s="1366" t="s">
        <v>1054</v>
      </c>
      <c r="D49" s="1366"/>
      <c r="E49" s="1367"/>
      <c r="F49" s="711"/>
      <c r="G49" s="709"/>
      <c r="H49" s="720" t="str">
        <f>IF($I$47=1,IF(($I$49)=0,"RISPONDERE OBBLIGATORIAMENTE ALLA DOMANDA"," "),IF(AND($I$47&gt;0,$I$49&gt;0),"LA RISPOSTA DATA IN QUESTA SEZIONE NON VERRA' CONSIDERATA",IF(I49&gt;0,"RISPONDERE ALLA DOMANDA 21","  ")))</f>
        <v xml:space="preserve">  </v>
      </c>
      <c r="I49" s="566">
        <v>0</v>
      </c>
      <c r="J49" s="615" t="str">
        <f>IF(I49=1,"VERO",IF(I49=2,"FALSO",""))</f>
        <v/>
      </c>
    </row>
    <row r="50" spans="1:10" ht="15" customHeight="1">
      <c r="B50" s="558"/>
      <c r="C50" s="612"/>
      <c r="D50" s="612"/>
      <c r="E50" s="1233"/>
      <c r="F50" s="712"/>
      <c r="G50" s="708"/>
      <c r="H50" s="837"/>
      <c r="I50" s="566"/>
    </row>
    <row r="51" spans="1:10" ht="19.95" customHeight="1">
      <c r="B51" s="656"/>
      <c r="C51" s="656"/>
      <c r="D51" s="656"/>
      <c r="E51" s="656"/>
      <c r="F51" s="570" t="s">
        <v>313</v>
      </c>
      <c r="G51" s="570" t="s">
        <v>314</v>
      </c>
      <c r="H51" s="831"/>
      <c r="I51" s="619"/>
    </row>
    <row r="52" spans="1:10" ht="29.4" customHeight="1">
      <c r="A52" s="1019" t="s">
        <v>1056</v>
      </c>
      <c r="B52" s="1366" t="s">
        <v>1057</v>
      </c>
      <c r="C52" s="1366"/>
      <c r="D52" s="1366"/>
      <c r="E52" s="1367"/>
      <c r="F52" s="711"/>
      <c r="G52" s="709"/>
      <c r="H52" s="720" t="str">
        <f>IF(I52=0,"RISPOSTA OBBLIGATORIA","")</f>
        <v>RISPOSTA OBBLIGATORIA</v>
      </c>
      <c r="I52" s="566">
        <v>0</v>
      </c>
      <c r="J52" s="615" t="str">
        <f>IF(I52=1,"VERO",IF(I52=2,"FALSO",""))</f>
        <v/>
      </c>
    </row>
    <row r="53" spans="1:10" ht="15" customHeight="1">
      <c r="B53" s="558"/>
      <c r="C53" s="612"/>
      <c r="D53" s="612"/>
      <c r="E53" s="1233"/>
      <c r="F53" s="712"/>
      <c r="G53" s="708"/>
      <c r="H53" s="837"/>
      <c r="I53" s="566"/>
    </row>
    <row r="54" spans="1:10" ht="15" customHeight="1">
      <c r="B54" s="656"/>
      <c r="C54" s="656"/>
      <c r="D54" s="656"/>
      <c r="E54" s="656"/>
      <c r="F54" s="570" t="s">
        <v>534</v>
      </c>
      <c r="G54" s="656"/>
      <c r="H54" s="831"/>
      <c r="I54" s="566"/>
    </row>
    <row r="55" spans="1:10" ht="30" customHeight="1">
      <c r="A55" s="655" t="s">
        <v>35</v>
      </c>
      <c r="B55" s="1366" t="s">
        <v>36</v>
      </c>
      <c r="C55" s="1366"/>
      <c r="D55" s="1366"/>
      <c r="E55" s="1367"/>
      <c r="F55" s="575">
        <v>0</v>
      </c>
      <c r="G55" s="1356" t="str">
        <f>IF(F55="","RISPOSTA OBBLIGATORIA","")</f>
        <v/>
      </c>
      <c r="H55" s="1357"/>
      <c r="I55" s="566"/>
    </row>
    <row r="56" spans="1:10" ht="15" customHeight="1">
      <c r="B56" s="656"/>
      <c r="C56" s="656"/>
      <c r="D56" s="656"/>
      <c r="E56" s="656"/>
      <c r="F56" s="656"/>
      <c r="G56" s="656"/>
      <c r="H56" s="831"/>
      <c r="I56" s="566"/>
    </row>
    <row r="57" spans="1:10" ht="15" customHeight="1">
      <c r="B57" s="656"/>
      <c r="C57" s="656"/>
      <c r="D57" s="656"/>
      <c r="E57" s="656"/>
      <c r="F57" s="570" t="s">
        <v>534</v>
      </c>
      <c r="G57" s="656"/>
      <c r="H57" s="831"/>
      <c r="I57" s="566"/>
    </row>
    <row r="58" spans="1:10" ht="30" customHeight="1">
      <c r="A58" s="655" t="s">
        <v>37</v>
      </c>
      <c r="B58" s="1366" t="s">
        <v>40</v>
      </c>
      <c r="C58" s="1366"/>
      <c r="D58" s="1366"/>
      <c r="E58" s="1367"/>
      <c r="F58" s="575">
        <v>0</v>
      </c>
      <c r="G58" s="1356" t="str">
        <f>IF(F58="","RISPOSTA OBBLIGATORIA","")</f>
        <v/>
      </c>
      <c r="H58" s="1357"/>
      <c r="I58" s="566"/>
    </row>
    <row r="59" spans="1:10" ht="15" customHeight="1">
      <c r="B59" s="656"/>
      <c r="C59" s="656"/>
      <c r="D59" s="656"/>
      <c r="E59" s="656"/>
      <c r="F59" s="656"/>
      <c r="G59" s="656"/>
      <c r="H59" s="831"/>
      <c r="I59" s="566"/>
    </row>
    <row r="60" spans="1:10" ht="15" customHeight="1">
      <c r="B60" s="656"/>
      <c r="C60" s="656"/>
      <c r="D60" s="656"/>
      <c r="E60" s="656"/>
      <c r="F60" s="570" t="s">
        <v>534</v>
      </c>
      <c r="G60" s="656"/>
      <c r="H60" s="831"/>
      <c r="I60" s="566"/>
    </row>
    <row r="61" spans="1:10" ht="30" customHeight="1">
      <c r="A61" s="655" t="s">
        <v>39</v>
      </c>
      <c r="B61" s="1366" t="s">
        <v>38</v>
      </c>
      <c r="C61" s="1366"/>
      <c r="D61" s="1366"/>
      <c r="E61" s="1367"/>
      <c r="F61" s="575">
        <v>0</v>
      </c>
      <c r="G61" s="1356" t="str">
        <f>IF(F61="","RISPOSTA OBBLIGATORIA","")</f>
        <v/>
      </c>
      <c r="H61" s="1357"/>
      <c r="I61" s="566"/>
    </row>
    <row r="62" spans="1:10" ht="15" hidden="1" customHeight="1">
      <c r="A62" s="707"/>
      <c r="B62" s="841"/>
      <c r="C62" s="841"/>
      <c r="D62" s="841"/>
      <c r="E62" s="841"/>
      <c r="F62" s="712"/>
      <c r="G62" s="708"/>
      <c r="H62" s="837"/>
      <c r="I62" s="566"/>
    </row>
    <row r="63" spans="1:10" ht="15" hidden="1" customHeight="1">
      <c r="B63" s="656"/>
      <c r="C63" s="656"/>
      <c r="D63" s="656"/>
      <c r="E63" s="656"/>
      <c r="F63" s="570" t="s">
        <v>313</v>
      </c>
      <c r="G63" s="570" t="s">
        <v>314</v>
      </c>
      <c r="H63" s="837"/>
      <c r="I63" s="566"/>
    </row>
    <row r="64" spans="1:10" ht="30" hidden="1" customHeight="1">
      <c r="A64" s="707" t="s">
        <v>694</v>
      </c>
      <c r="B64" s="1366" t="s">
        <v>723</v>
      </c>
      <c r="C64" s="1366"/>
      <c r="D64" s="1366"/>
      <c r="E64" s="1366"/>
      <c r="F64" s="711"/>
      <c r="G64" s="709"/>
      <c r="H64" s="720"/>
      <c r="I64" s="566"/>
      <c r="J64" s="615" t="str">
        <f>IF(I64=1,"VERO",IF(I64=2,"FALSO",""))</f>
        <v/>
      </c>
    </row>
    <row r="65" spans="1:9" ht="20.25" hidden="1" customHeight="1">
      <c r="A65" s="707"/>
      <c r="B65" s="841"/>
      <c r="C65" s="612" t="s">
        <v>696</v>
      </c>
      <c r="D65" s="841"/>
      <c r="E65" s="841"/>
      <c r="F65" s="712"/>
      <c r="G65" s="708"/>
      <c r="H65" s="837"/>
      <c r="I65" s="566"/>
    </row>
    <row r="66" spans="1:9" ht="15" hidden="1" customHeight="1">
      <c r="B66" s="656"/>
      <c r="C66" s="656"/>
      <c r="D66" s="656"/>
      <c r="E66" s="656"/>
      <c r="F66" s="570" t="s">
        <v>695</v>
      </c>
      <c r="G66" s="656"/>
      <c r="H66" s="831"/>
      <c r="I66" s="566"/>
    </row>
    <row r="67" spans="1:9" ht="30" hidden="1" customHeight="1">
      <c r="A67" s="707"/>
      <c r="B67" s="656">
        <v>29</v>
      </c>
      <c r="C67" s="1366" t="s">
        <v>707</v>
      </c>
      <c r="D67" s="1366"/>
      <c r="E67" s="1367"/>
      <c r="F67" s="575"/>
      <c r="G67" s="1358" t="str">
        <f>IF($I$64=1,IF(($F$67+$F$70)=0,"RISPONDERE OBBLIGATORIAMENTE ALLA DOMANDA 29 E/O 30"," "),IF(AND($I$64=2,F67&gt;0),"LA RISPOSTA DATA IN QUESTA SEZIONE NON VERRA' CONSIDERATA",IF(F67&gt;0,"RISPONDERE ALLA DOMANDA 28"," ")))</f>
        <v xml:space="preserve"> </v>
      </c>
      <c r="H67" s="1359"/>
      <c r="I67" s="566"/>
    </row>
    <row r="68" spans="1:9" ht="15" hidden="1" customHeight="1">
      <c r="A68" s="707"/>
      <c r="B68" s="841"/>
      <c r="C68" s="841"/>
      <c r="D68" s="841"/>
      <c r="E68" s="841"/>
      <c r="F68" s="712"/>
      <c r="G68" s="708"/>
      <c r="H68" s="837"/>
      <c r="I68" s="566"/>
    </row>
    <row r="69" spans="1:9" ht="15" hidden="1" customHeight="1">
      <c r="B69" s="656"/>
      <c r="C69" s="656"/>
      <c r="D69" s="656"/>
      <c r="E69" s="656"/>
      <c r="F69" s="570" t="s">
        <v>695</v>
      </c>
      <c r="G69" s="656"/>
      <c r="H69" s="831"/>
      <c r="I69" s="566"/>
    </row>
    <row r="70" spans="1:9" ht="30" hidden="1" customHeight="1">
      <c r="A70" s="707"/>
      <c r="B70" s="656">
        <v>30</v>
      </c>
      <c r="C70" s="1366" t="s">
        <v>708</v>
      </c>
      <c r="D70" s="1366"/>
      <c r="E70" s="1367"/>
      <c r="F70" s="575"/>
      <c r="G70" s="1358" t="str">
        <f>IF($I$64=1,IF(($F$67+$F$70)=0,"RISPONDERE OBBLIGATORIAMENTE ALLA DOMANDA 29 E/O 30"," "),IF(AND($I$64=2,F70&gt;0),"LA RISPOSTA DATA IN QUESTA SEZIONE NON VERRA' CONSIDERATA",IF(F70&gt;0,"RISPONDERE ALLA DOMANDA 28"," ")))</f>
        <v xml:space="preserve"> </v>
      </c>
      <c r="H70" s="1359"/>
      <c r="I70" s="566"/>
    </row>
    <row r="71" spans="1:9" ht="15" hidden="1" customHeight="1">
      <c r="B71" s="552"/>
      <c r="C71" s="552"/>
      <c r="D71" s="552"/>
      <c r="E71" s="552"/>
      <c r="F71" s="552"/>
      <c r="G71" s="552"/>
      <c r="H71" s="832"/>
      <c r="I71" s="566"/>
    </row>
    <row r="72" spans="1:9" ht="15" hidden="1" customHeight="1">
      <c r="B72" s="552"/>
      <c r="C72" s="552"/>
      <c r="D72" s="552"/>
      <c r="E72" s="552"/>
      <c r="F72" s="552"/>
      <c r="G72" s="552"/>
      <c r="H72" s="832"/>
      <c r="I72" s="566"/>
    </row>
    <row r="73" spans="1:9" ht="15" hidden="1" customHeight="1">
      <c r="B73" s="552"/>
      <c r="C73" s="552"/>
      <c r="D73" s="552"/>
      <c r="E73" s="552"/>
      <c r="F73" s="552"/>
      <c r="G73" s="552"/>
      <c r="H73" s="832"/>
      <c r="I73" s="566"/>
    </row>
    <row r="74" spans="1:9" ht="15" hidden="1" customHeight="1">
      <c r="B74" s="552"/>
      <c r="C74" s="552"/>
      <c r="D74" s="552"/>
      <c r="E74" s="552"/>
      <c r="F74" s="552"/>
      <c r="G74" s="552"/>
      <c r="H74" s="832"/>
      <c r="I74" s="566"/>
    </row>
    <row r="75" spans="1:9" ht="15" hidden="1" customHeight="1">
      <c r="B75" s="552"/>
      <c r="C75" s="552"/>
      <c r="D75" s="552"/>
      <c r="E75" s="552"/>
      <c r="F75" s="552"/>
      <c r="G75" s="552"/>
      <c r="H75" s="832"/>
      <c r="I75" s="566"/>
    </row>
    <row r="76" spans="1:9" ht="15" hidden="1" customHeight="1">
      <c r="B76" s="552"/>
      <c r="C76" s="552"/>
      <c r="D76" s="552"/>
      <c r="E76" s="552"/>
      <c r="F76" s="552"/>
      <c r="G76" s="552"/>
      <c r="H76" s="832"/>
      <c r="I76" s="566"/>
    </row>
    <row r="77" spans="1:9" ht="15" hidden="1" customHeight="1">
      <c r="B77" s="552"/>
      <c r="C77" s="552"/>
      <c r="D77" s="552"/>
      <c r="E77" s="552"/>
      <c r="F77" s="552"/>
      <c r="G77" s="552"/>
      <c r="H77" s="832"/>
      <c r="I77" s="566"/>
    </row>
    <row r="78" spans="1:9" ht="15" hidden="1" customHeight="1">
      <c r="B78" s="552"/>
      <c r="C78" s="552"/>
      <c r="D78" s="552"/>
      <c r="E78" s="552"/>
      <c r="F78" s="552"/>
      <c r="G78" s="552"/>
      <c r="H78" s="832"/>
      <c r="I78" s="566"/>
    </row>
    <row r="79" spans="1:9" ht="15" hidden="1" customHeight="1">
      <c r="B79" s="552"/>
      <c r="C79" s="552"/>
      <c r="D79" s="552"/>
      <c r="E79" s="552"/>
      <c r="F79" s="552"/>
      <c r="G79" s="552"/>
      <c r="H79" s="832"/>
      <c r="I79" s="566"/>
    </row>
    <row r="80" spans="1:9" ht="15" hidden="1" customHeight="1">
      <c r="B80" s="552"/>
      <c r="C80" s="552"/>
      <c r="D80" s="552"/>
      <c r="E80" s="552"/>
      <c r="F80" s="552"/>
      <c r="G80" s="552"/>
      <c r="H80" s="832"/>
      <c r="I80" s="566"/>
    </row>
    <row r="81" spans="2:9" ht="15" hidden="1" customHeight="1">
      <c r="B81" s="552"/>
      <c r="C81" s="552"/>
      <c r="D81" s="552"/>
      <c r="E81" s="552"/>
      <c r="F81" s="552"/>
      <c r="G81" s="552"/>
      <c r="H81" s="832"/>
      <c r="I81" s="566"/>
    </row>
    <row r="82" spans="2:9" ht="15" hidden="1" customHeight="1">
      <c r="B82" s="552"/>
      <c r="C82" s="552"/>
      <c r="D82" s="552"/>
      <c r="E82" s="552"/>
      <c r="F82" s="552"/>
      <c r="G82" s="552"/>
      <c r="H82" s="832"/>
      <c r="I82" s="566"/>
    </row>
    <row r="83" spans="2:9" ht="15" hidden="1" customHeight="1">
      <c r="B83" s="552"/>
      <c r="C83" s="552"/>
      <c r="D83" s="552"/>
      <c r="E83" s="552"/>
      <c r="F83" s="552"/>
      <c r="G83" s="552"/>
      <c r="H83" s="832"/>
      <c r="I83" s="566"/>
    </row>
    <row r="84" spans="2:9" ht="15" hidden="1" customHeight="1">
      <c r="B84" s="552"/>
      <c r="C84" s="552"/>
      <c r="D84" s="552"/>
      <c r="E84" s="552"/>
      <c r="F84" s="552"/>
      <c r="G84" s="552"/>
      <c r="H84" s="832"/>
      <c r="I84" s="566"/>
    </row>
    <row r="85" spans="2:9" ht="15" hidden="1" customHeight="1">
      <c r="B85" s="552"/>
      <c r="C85" s="552"/>
      <c r="D85" s="552"/>
      <c r="E85" s="552"/>
      <c r="F85" s="552"/>
      <c r="G85" s="552"/>
      <c r="H85" s="832"/>
      <c r="I85" s="566"/>
    </row>
    <row r="86" spans="2:9" ht="15" hidden="1" customHeight="1">
      <c r="B86" s="866"/>
      <c r="C86" s="552"/>
      <c r="D86" s="552"/>
      <c r="E86" s="552"/>
      <c r="F86" s="552"/>
      <c r="G86" s="552"/>
      <c r="H86" s="832"/>
      <c r="I86" s="566"/>
    </row>
    <row r="87" spans="2:9" ht="15" hidden="1" customHeight="1">
      <c r="B87" s="552"/>
      <c r="C87" s="552"/>
      <c r="D87" s="552"/>
      <c r="E87" s="552"/>
      <c r="F87" s="552"/>
      <c r="G87" s="552"/>
      <c r="H87" s="832"/>
      <c r="I87" s="566"/>
    </row>
    <row r="88" spans="2:9" ht="15" hidden="1" customHeight="1">
      <c r="B88" s="552"/>
      <c r="C88" s="552"/>
      <c r="D88" s="552"/>
      <c r="E88" s="552"/>
      <c r="F88" s="552"/>
      <c r="G88" s="552"/>
      <c r="H88" s="832"/>
      <c r="I88" s="566"/>
    </row>
    <row r="89" spans="2:9" ht="15" hidden="1" customHeight="1">
      <c r="B89" s="552"/>
      <c r="C89" s="552"/>
      <c r="D89" s="552"/>
      <c r="E89" s="552"/>
      <c r="F89" s="552"/>
      <c r="G89" s="552"/>
      <c r="H89" s="832"/>
      <c r="I89" s="566"/>
    </row>
    <row r="90" spans="2:9" ht="15" hidden="1" customHeight="1">
      <c r="B90" s="552"/>
      <c r="C90" s="552"/>
      <c r="D90" s="552"/>
      <c r="E90" s="552"/>
      <c r="F90" s="552"/>
      <c r="G90" s="552"/>
      <c r="H90" s="832"/>
      <c r="I90" s="566"/>
    </row>
    <row r="91" spans="2:9" ht="15" hidden="1" customHeight="1">
      <c r="B91" s="552"/>
      <c r="C91" s="552"/>
      <c r="D91" s="552"/>
      <c r="E91" s="552"/>
      <c r="F91" s="552"/>
      <c r="G91" s="552"/>
      <c r="H91" s="832"/>
      <c r="I91" s="566"/>
    </row>
    <row r="92" spans="2:9" ht="15" hidden="1" customHeight="1">
      <c r="B92" s="552"/>
      <c r="C92" s="552"/>
      <c r="D92" s="552"/>
      <c r="E92" s="552"/>
      <c r="F92" s="552"/>
      <c r="G92" s="866"/>
      <c r="H92" s="832"/>
      <c r="I92" s="566"/>
    </row>
    <row r="93" spans="2:9" ht="15" hidden="1" customHeight="1">
      <c r="B93" s="552"/>
      <c r="C93" s="552"/>
      <c r="D93" s="552"/>
      <c r="E93" s="552"/>
      <c r="F93" s="552"/>
      <c r="G93" s="552"/>
      <c r="H93" s="832"/>
      <c r="I93" s="566"/>
    </row>
    <row r="94" spans="2:9" ht="15" hidden="1" customHeight="1">
      <c r="B94" s="552"/>
      <c r="C94" s="552"/>
      <c r="D94" s="552"/>
      <c r="E94" s="552"/>
      <c r="F94" s="552"/>
      <c r="G94" s="552"/>
      <c r="H94" s="832"/>
      <c r="I94" s="566"/>
    </row>
    <row r="95" spans="2:9" ht="15" hidden="1" customHeight="1">
      <c r="B95" s="552"/>
      <c r="C95" s="552"/>
      <c r="D95" s="552"/>
      <c r="E95" s="552"/>
      <c r="F95" s="552"/>
      <c r="G95" s="552"/>
      <c r="H95" s="832"/>
      <c r="I95" s="566"/>
    </row>
    <row r="96" spans="2:9" ht="15" hidden="1" customHeight="1">
      <c r="B96" s="552"/>
      <c r="C96" s="552"/>
      <c r="D96" s="552"/>
      <c r="E96" s="552"/>
      <c r="F96" s="552"/>
      <c r="G96" s="552"/>
      <c r="H96" s="832"/>
      <c r="I96" s="566"/>
    </row>
    <row r="97" spans="1:9" ht="15" hidden="1" customHeight="1">
      <c r="B97" s="552"/>
      <c r="C97" s="552"/>
      <c r="D97" s="552"/>
      <c r="E97" s="552"/>
      <c r="F97" s="552"/>
      <c r="G97" s="552"/>
      <c r="H97" s="832"/>
      <c r="I97" s="566"/>
    </row>
    <row r="98" spans="1:9" ht="15" hidden="1" customHeight="1">
      <c r="B98" s="552"/>
      <c r="C98" s="552"/>
      <c r="D98" s="552"/>
      <c r="E98" s="552"/>
      <c r="F98" s="552"/>
      <c r="G98" s="552"/>
      <c r="H98" s="832"/>
      <c r="I98" s="566"/>
    </row>
    <row r="99" spans="1:9" ht="15" hidden="1" customHeight="1">
      <c r="B99" s="552"/>
      <c r="C99" s="552"/>
      <c r="D99" s="552"/>
      <c r="E99" s="552"/>
      <c r="F99" s="552"/>
      <c r="G99" s="552"/>
      <c r="H99" s="832"/>
      <c r="I99" s="566"/>
    </row>
    <row r="100" spans="1:9" ht="15" hidden="1" customHeight="1">
      <c r="B100" s="552"/>
      <c r="C100" s="552"/>
      <c r="D100" s="552"/>
      <c r="E100" s="552"/>
      <c r="F100" s="552"/>
      <c r="G100" s="552"/>
      <c r="H100" s="832"/>
      <c r="I100" s="566"/>
    </row>
    <row r="101" spans="1:9" ht="15" hidden="1" customHeight="1">
      <c r="B101" s="552"/>
      <c r="C101" s="552"/>
      <c r="D101" s="552"/>
      <c r="E101" s="552"/>
      <c r="F101" s="552"/>
      <c r="G101" s="552"/>
      <c r="H101" s="832"/>
      <c r="I101" s="566"/>
    </row>
    <row r="102" spans="1:9" ht="15" hidden="1" customHeight="1">
      <c r="B102" s="552"/>
      <c r="C102" s="552"/>
      <c r="D102" s="552"/>
      <c r="E102" s="552"/>
      <c r="F102" s="552"/>
      <c r="G102" s="552"/>
      <c r="H102" s="832"/>
      <c r="I102" s="566"/>
    </row>
    <row r="103" spans="1:9" ht="15" hidden="1" customHeight="1">
      <c r="B103" s="552"/>
      <c r="C103" s="552"/>
      <c r="D103" s="552"/>
      <c r="E103" s="552"/>
      <c r="F103" s="552"/>
      <c r="G103" s="552"/>
      <c r="H103" s="832"/>
      <c r="I103" s="566"/>
    </row>
    <row r="104" spans="1:9" ht="15" hidden="1" customHeight="1">
      <c r="B104" s="552"/>
      <c r="C104" s="552"/>
      <c r="D104" s="552"/>
      <c r="E104" s="552"/>
      <c r="F104" s="552"/>
      <c r="G104" s="552"/>
      <c r="H104" s="832"/>
      <c r="I104" s="566"/>
    </row>
    <row r="105" spans="1:9" s="982" customFormat="1" ht="15" customHeight="1">
      <c r="A105" s="978"/>
      <c r="B105" s="979"/>
      <c r="C105" s="979"/>
      <c r="D105" s="983"/>
      <c r="E105" s="992"/>
      <c r="F105" s="984"/>
      <c r="G105" s="985"/>
      <c r="H105" s="980"/>
      <c r="I105" s="981"/>
    </row>
    <row r="106" spans="1:9" customFormat="1">
      <c r="A106" s="655"/>
      <c r="B106" s="656"/>
      <c r="C106" s="656"/>
      <c r="D106" s="656"/>
      <c r="E106" s="656"/>
      <c r="F106" s="570" t="s">
        <v>534</v>
      </c>
      <c r="G106" s="656"/>
      <c r="H106" s="831"/>
    </row>
    <row r="107" spans="1:9" customFormat="1" ht="36" customHeight="1">
      <c r="A107" s="655" t="s">
        <v>860</v>
      </c>
      <c r="B107" s="1366" t="s">
        <v>1062</v>
      </c>
      <c r="C107" s="1366"/>
      <c r="D107" s="1366"/>
      <c r="E107" s="1367"/>
      <c r="F107" s="575">
        <v>0</v>
      </c>
      <c r="G107" s="1356" t="str">
        <f>IF(F107="","RISPOSTA OBBLIGATORIA","")</f>
        <v/>
      </c>
      <c r="H107" s="1357"/>
    </row>
    <row r="108" spans="1:9" customFormat="1">
      <c r="A108" s="655"/>
      <c r="B108" s="656"/>
      <c r="C108" s="656"/>
      <c r="D108" s="656"/>
      <c r="E108" s="656"/>
      <c r="F108" s="656"/>
      <c r="G108" s="656"/>
      <c r="H108" s="831"/>
    </row>
    <row r="109" spans="1:9" customFormat="1">
      <c r="A109" s="655"/>
      <c r="B109" s="656"/>
      <c r="C109" s="656"/>
      <c r="D109" s="656"/>
      <c r="E109" s="656"/>
      <c r="F109" s="570" t="s">
        <v>534</v>
      </c>
      <c r="G109" s="656"/>
      <c r="H109" s="831"/>
    </row>
    <row r="110" spans="1:9" customFormat="1" ht="36" customHeight="1">
      <c r="A110" s="655" t="s">
        <v>861</v>
      </c>
      <c r="B110" s="1366" t="s">
        <v>1063</v>
      </c>
      <c r="C110" s="1366"/>
      <c r="D110" s="1366"/>
      <c r="E110" s="1367"/>
      <c r="F110" s="575">
        <v>0</v>
      </c>
      <c r="G110" s="1356" t="str">
        <f>IF(F110="","RISPOSTA OBBLIGATORIA","")</f>
        <v/>
      </c>
      <c r="H110" s="1357"/>
    </row>
    <row r="111" spans="1:9" customFormat="1">
      <c r="A111" s="655"/>
      <c r="B111" s="656"/>
      <c r="C111" s="656"/>
      <c r="D111" s="656"/>
      <c r="E111" s="656"/>
      <c r="F111" s="656"/>
      <c r="G111" s="656"/>
      <c r="H111" s="831"/>
    </row>
    <row r="112" spans="1:9" customFormat="1">
      <c r="A112" s="655"/>
      <c r="B112" s="656"/>
      <c r="C112" s="656"/>
      <c r="D112" s="656"/>
      <c r="E112" s="656"/>
      <c r="F112" s="570" t="s">
        <v>534</v>
      </c>
      <c r="G112" s="656"/>
      <c r="H112" s="831"/>
    </row>
    <row r="113" spans="1:9" customFormat="1" ht="36" customHeight="1">
      <c r="A113" s="655" t="s">
        <v>862</v>
      </c>
      <c r="B113" s="1366" t="s">
        <v>1064</v>
      </c>
      <c r="C113" s="1366"/>
      <c r="D113" s="1366"/>
      <c r="E113" s="1367"/>
      <c r="F113" s="575">
        <v>0</v>
      </c>
      <c r="G113" s="1356" t="str">
        <f>IF(F113="","RISPOSTA OBBLIGATORIA","")</f>
        <v/>
      </c>
      <c r="H113" s="1357"/>
    </row>
    <row r="114" spans="1:9" customFormat="1" ht="15" hidden="1" customHeight="1">
      <c r="A114" s="655"/>
      <c r="B114" s="1111"/>
      <c r="C114" s="1111"/>
      <c r="D114" s="1111"/>
      <c r="E114" s="1111"/>
      <c r="F114" s="1111"/>
      <c r="G114" s="708"/>
      <c r="H114" s="1112"/>
    </row>
    <row r="115" spans="1:9" customFormat="1" ht="15" hidden="1" customHeight="1">
      <c r="A115" s="655"/>
      <c r="B115" s="1111"/>
      <c r="C115" s="1111"/>
      <c r="D115" s="1111"/>
      <c r="E115" s="1111"/>
      <c r="F115" s="1111"/>
      <c r="G115" s="708"/>
      <c r="H115" s="1112"/>
    </row>
    <row r="116" spans="1:9" customFormat="1" ht="15" hidden="1" customHeight="1">
      <c r="A116" s="655"/>
      <c r="B116" s="1111"/>
      <c r="C116" s="1111"/>
      <c r="D116" s="1111"/>
      <c r="E116" s="1111"/>
      <c r="F116" s="1111"/>
      <c r="G116" s="708"/>
      <c r="H116" s="1112"/>
    </row>
    <row r="117" spans="1:9" customFormat="1" ht="15" hidden="1" customHeight="1">
      <c r="A117" s="655"/>
      <c r="B117" s="1111"/>
      <c r="C117" s="1111"/>
      <c r="D117" s="1111"/>
      <c r="E117" s="1111"/>
      <c r="F117" s="1111"/>
      <c r="G117" s="708"/>
      <c r="H117" s="1112"/>
    </row>
    <row r="118" spans="1:9" customFormat="1" ht="15" hidden="1" customHeight="1">
      <c r="A118" s="655"/>
      <c r="B118" s="1111"/>
      <c r="C118" s="1111"/>
      <c r="D118" s="1111"/>
      <c r="E118" s="1111"/>
      <c r="F118" s="1111"/>
      <c r="G118" s="708"/>
      <c r="H118" s="1112"/>
    </row>
    <row r="119" spans="1:9" customFormat="1" ht="15" hidden="1" customHeight="1">
      <c r="A119" s="655"/>
      <c r="B119" s="1111"/>
      <c r="C119" s="1111"/>
      <c r="D119" s="1111"/>
      <c r="E119" s="1111"/>
      <c r="F119" s="1111"/>
      <c r="G119" s="708"/>
      <c r="H119" s="1112"/>
    </row>
    <row r="120" spans="1:9" ht="15.6" hidden="1" customHeight="1">
      <c r="B120" s="552"/>
      <c r="C120" s="552"/>
      <c r="D120" s="552"/>
      <c r="E120" s="552"/>
      <c r="F120" s="552"/>
      <c r="G120" s="552"/>
      <c r="H120" s="832"/>
      <c r="I120" s="566"/>
    </row>
    <row r="121" spans="1:9" ht="15" hidden="1" customHeight="1">
      <c r="B121" s="656"/>
      <c r="C121" s="656"/>
      <c r="D121" s="656"/>
      <c r="E121" s="656"/>
      <c r="F121" s="570"/>
      <c r="G121" s="656"/>
      <c r="H121" s="831"/>
      <c r="I121" s="619"/>
    </row>
    <row r="122" spans="1:9" ht="49.2" hidden="1" customHeight="1">
      <c r="A122" s="663" t="s">
        <v>800</v>
      </c>
      <c r="B122" s="1362" t="s">
        <v>896</v>
      </c>
      <c r="C122" s="1362"/>
      <c r="D122" s="1362"/>
      <c r="E122" s="1363"/>
      <c r="F122" s="1020" t="s">
        <v>1068</v>
      </c>
      <c r="G122" s="1229"/>
      <c r="H122" s="720" t="str">
        <f>IF(I122=0,"RISPOSTA OBBLIGATORIA","")</f>
        <v/>
      </c>
      <c r="I122" s="1109" t="str">
        <f>IF(F122="si",1,IF(F122="no",2,IF(F122="non tenuto","x",0)))</f>
        <v>x</v>
      </c>
    </row>
    <row r="123" spans="1:9" ht="15" hidden="1" customHeight="1">
      <c r="A123" s="663"/>
      <c r="B123" s="1110"/>
      <c r="C123" s="1110"/>
      <c r="D123" s="1110"/>
      <c r="E123" s="1110"/>
      <c r="F123" s="1110"/>
      <c r="G123" s="1114"/>
      <c r="H123" s="1113"/>
      <c r="I123" s="1109"/>
    </row>
    <row r="124" spans="1:9" ht="15" hidden="1" customHeight="1">
      <c r="A124" s="663"/>
      <c r="B124" s="1110"/>
      <c r="C124" s="1110"/>
      <c r="D124" s="1110"/>
      <c r="E124" s="1110"/>
      <c r="F124" s="1110"/>
      <c r="G124" s="1114"/>
      <c r="H124" s="1113"/>
      <c r="I124" s="1109"/>
    </row>
    <row r="125" spans="1:9" ht="15" hidden="1" customHeight="1">
      <c r="A125" s="663"/>
      <c r="B125" s="1110"/>
      <c r="C125" s="1110"/>
      <c r="D125" s="1110"/>
      <c r="E125" s="1110"/>
      <c r="F125" s="1110"/>
      <c r="G125" s="1114"/>
      <c r="H125" s="1113"/>
      <c r="I125" s="1109"/>
    </row>
    <row r="126" spans="1:9" ht="15" hidden="1" customHeight="1">
      <c r="A126" s="663"/>
      <c r="B126" s="1110"/>
      <c r="C126" s="1110"/>
      <c r="D126" s="1110"/>
      <c r="E126" s="1110"/>
      <c r="F126" s="1110"/>
      <c r="G126" s="1114"/>
      <c r="H126" s="1113"/>
      <c r="I126" s="1109"/>
    </row>
    <row r="127" spans="1:9" ht="15" hidden="1" customHeight="1">
      <c r="A127" s="663"/>
      <c r="B127" s="1110"/>
      <c r="C127" s="1110"/>
      <c r="D127" s="1110"/>
      <c r="E127" s="1110"/>
      <c r="F127" s="1110"/>
      <c r="G127" s="1114"/>
      <c r="H127" s="1113"/>
      <c r="I127" s="1109"/>
    </row>
    <row r="128" spans="1:9" ht="15" hidden="1" customHeight="1">
      <c r="A128" s="663"/>
      <c r="B128" s="1110"/>
      <c r="C128" s="1110"/>
      <c r="D128" s="1110"/>
      <c r="E128" s="1110"/>
      <c r="F128" s="1110"/>
      <c r="G128" s="1114"/>
      <c r="H128" s="1113"/>
      <c r="I128" s="1109"/>
    </row>
    <row r="129" spans="1:9" ht="15" customHeight="1">
      <c r="B129" s="552"/>
      <c r="C129" s="552"/>
      <c r="D129" s="552"/>
      <c r="E129" s="552"/>
      <c r="F129" s="552"/>
      <c r="G129" s="552"/>
      <c r="H129" s="832"/>
      <c r="I129" s="566"/>
    </row>
    <row r="130" spans="1:9" ht="15" customHeight="1">
      <c r="B130" s="1377" t="s">
        <v>536</v>
      </c>
      <c r="C130" s="1378"/>
      <c r="D130" s="1379"/>
      <c r="E130" s="575"/>
      <c r="F130" s="1382" t="str">
        <f xml:space="preserve"> IF(E130:E179=0,"RISPOSTA OBBLIGATORIA","")</f>
        <v>RISPOSTA OBBLIGATORIA</v>
      </c>
      <c r="G130" s="1383"/>
      <c r="H130" s="1384"/>
      <c r="I130" s="566"/>
    </row>
    <row r="131" spans="1:9" ht="15" customHeight="1">
      <c r="B131" s="1378"/>
      <c r="C131" s="1378"/>
      <c r="D131" s="1379"/>
      <c r="E131" s="587"/>
      <c r="F131" s="1385"/>
      <c r="G131" s="1386"/>
      <c r="H131" s="1387"/>
      <c r="I131" s="475"/>
    </row>
    <row r="132" spans="1:9" ht="15" customHeight="1">
      <c r="A132" s="588"/>
      <c r="B132" s="1378"/>
      <c r="C132" s="1378"/>
      <c r="D132" s="1379"/>
      <c r="E132" s="587"/>
      <c r="F132" s="1385"/>
      <c r="G132" s="1386"/>
      <c r="H132" s="1387"/>
      <c r="I132" s="475"/>
    </row>
    <row r="133" spans="1:9" ht="15" customHeight="1">
      <c r="A133" s="588"/>
      <c r="B133" s="1378"/>
      <c r="C133" s="1378"/>
      <c r="D133" s="1379"/>
      <c r="E133" s="587"/>
      <c r="F133" s="1385"/>
      <c r="G133" s="1386"/>
      <c r="H133" s="1387"/>
      <c r="I133" s="475"/>
    </row>
    <row r="134" spans="1:9" ht="15" customHeight="1">
      <c r="A134" s="588"/>
      <c r="B134" s="1378"/>
      <c r="C134" s="1378"/>
      <c r="D134" s="1379"/>
      <c r="E134" s="587"/>
      <c r="F134" s="1385"/>
      <c r="G134" s="1386"/>
      <c r="H134" s="1387"/>
      <c r="I134" s="475"/>
    </row>
    <row r="135" spans="1:9" ht="15" customHeight="1">
      <c r="A135" s="588"/>
      <c r="B135" s="1378"/>
      <c r="C135" s="1378"/>
      <c r="D135" s="1379"/>
      <c r="E135" s="587"/>
      <c r="F135" s="1385"/>
      <c r="G135" s="1386"/>
      <c r="H135" s="1387"/>
      <c r="I135" s="475"/>
    </row>
    <row r="136" spans="1:9" ht="15" customHeight="1">
      <c r="A136" s="588"/>
      <c r="B136" s="1378"/>
      <c r="C136" s="1378"/>
      <c r="D136" s="1379"/>
      <c r="E136" s="587"/>
      <c r="F136" s="1385"/>
      <c r="G136" s="1386"/>
      <c r="H136" s="1387"/>
      <c r="I136" s="475"/>
    </row>
    <row r="137" spans="1:9" ht="15" customHeight="1">
      <c r="A137" s="588"/>
      <c r="B137" s="1378"/>
      <c r="C137" s="1378"/>
      <c r="D137" s="1379"/>
      <c r="E137" s="587"/>
      <c r="F137" s="1385"/>
      <c r="G137" s="1386"/>
      <c r="H137" s="1387"/>
      <c r="I137" s="475"/>
    </row>
    <row r="138" spans="1:9" ht="15" customHeight="1">
      <c r="A138" s="588"/>
      <c r="B138" s="1378"/>
      <c r="C138" s="1378"/>
      <c r="D138" s="1379"/>
      <c r="E138" s="587"/>
      <c r="F138" s="1385"/>
      <c r="G138" s="1386"/>
      <c r="H138" s="1387"/>
      <c r="I138" s="475"/>
    </row>
    <row r="139" spans="1:9" ht="15" customHeight="1">
      <c r="A139" s="588"/>
      <c r="B139" s="1378"/>
      <c r="C139" s="1378"/>
      <c r="D139" s="1379"/>
      <c r="E139" s="587"/>
      <c r="F139" s="1385"/>
      <c r="G139" s="1386"/>
      <c r="H139" s="1387"/>
      <c r="I139" s="475"/>
    </row>
    <row r="140" spans="1:9" ht="15" customHeight="1">
      <c r="A140" s="588"/>
      <c r="B140" s="1378"/>
      <c r="C140" s="1378"/>
      <c r="D140" s="1379"/>
      <c r="E140" s="587"/>
      <c r="F140" s="1385"/>
      <c r="G140" s="1386"/>
      <c r="H140" s="1387"/>
      <c r="I140" s="475"/>
    </row>
    <row r="141" spans="1:9" ht="15" customHeight="1">
      <c r="A141" s="588"/>
      <c r="B141" s="1378"/>
      <c r="C141" s="1378"/>
      <c r="D141" s="1379"/>
      <c r="E141" s="587"/>
      <c r="F141" s="1385"/>
      <c r="G141" s="1386"/>
      <c r="H141" s="1387"/>
      <c r="I141" s="475"/>
    </row>
    <row r="142" spans="1:9" ht="15" customHeight="1">
      <c r="A142" s="588"/>
      <c r="B142" s="1378"/>
      <c r="C142" s="1378"/>
      <c r="D142" s="1379"/>
      <c r="E142" s="587"/>
      <c r="F142" s="1385"/>
      <c r="G142" s="1386"/>
      <c r="H142" s="1387"/>
      <c r="I142" s="475"/>
    </row>
    <row r="143" spans="1:9" ht="15" customHeight="1">
      <c r="A143" s="588"/>
      <c r="B143" s="1378"/>
      <c r="C143" s="1378"/>
      <c r="D143" s="1379"/>
      <c r="E143" s="587"/>
      <c r="F143" s="1385"/>
      <c r="G143" s="1386"/>
      <c r="H143" s="1387"/>
      <c r="I143" s="475"/>
    </row>
    <row r="144" spans="1:9" ht="15" customHeight="1">
      <c r="A144" s="588"/>
      <c r="B144" s="1378"/>
      <c r="C144" s="1378"/>
      <c r="D144" s="1379"/>
      <c r="E144" s="587"/>
      <c r="F144" s="1385"/>
      <c r="G144" s="1386"/>
      <c r="H144" s="1387"/>
      <c r="I144" s="475"/>
    </row>
    <row r="145" spans="1:9" ht="15" customHeight="1">
      <c r="A145" s="588"/>
      <c r="B145" s="1378"/>
      <c r="C145" s="1378"/>
      <c r="D145" s="1379"/>
      <c r="E145" s="587"/>
      <c r="F145" s="1385"/>
      <c r="G145" s="1386"/>
      <c r="H145" s="1387"/>
      <c r="I145" s="475"/>
    </row>
    <row r="146" spans="1:9" ht="15" customHeight="1">
      <c r="A146" s="588"/>
      <c r="B146" s="1378"/>
      <c r="C146" s="1378"/>
      <c r="D146" s="1379"/>
      <c r="E146" s="587"/>
      <c r="F146" s="1385"/>
      <c r="G146" s="1386"/>
      <c r="H146" s="1387"/>
      <c r="I146" s="475"/>
    </row>
    <row r="147" spans="1:9" ht="15" customHeight="1">
      <c r="A147" s="588"/>
      <c r="B147" s="1378"/>
      <c r="C147" s="1378"/>
      <c r="D147" s="1379"/>
      <c r="E147" s="587"/>
      <c r="F147" s="1385"/>
      <c r="G147" s="1386"/>
      <c r="H147" s="1387"/>
      <c r="I147" s="475"/>
    </row>
    <row r="148" spans="1:9" ht="15" customHeight="1">
      <c r="A148" s="588"/>
      <c r="B148" s="1378"/>
      <c r="C148" s="1378"/>
      <c r="D148" s="1379"/>
      <c r="E148" s="587"/>
      <c r="F148" s="1385"/>
      <c r="G148" s="1386"/>
      <c r="H148" s="1387"/>
      <c r="I148" s="475"/>
    </row>
    <row r="149" spans="1:9" ht="15" customHeight="1">
      <c r="A149" s="588"/>
      <c r="B149" s="1378"/>
      <c r="C149" s="1378"/>
      <c r="D149" s="1379"/>
      <c r="E149" s="587"/>
      <c r="F149" s="1385"/>
      <c r="G149" s="1386"/>
      <c r="H149" s="1387"/>
      <c r="I149" s="475"/>
    </row>
    <row r="150" spans="1:9" ht="15" customHeight="1">
      <c r="A150" s="588"/>
      <c r="B150" s="1378"/>
      <c r="C150" s="1378"/>
      <c r="D150" s="1379"/>
      <c r="E150" s="587"/>
      <c r="F150" s="1385"/>
      <c r="G150" s="1386"/>
      <c r="H150" s="1387"/>
      <c r="I150" s="475"/>
    </row>
    <row r="151" spans="1:9" ht="15" customHeight="1">
      <c r="A151" s="588"/>
      <c r="B151" s="1378"/>
      <c r="C151" s="1378"/>
      <c r="D151" s="1379"/>
      <c r="E151" s="587"/>
      <c r="F151" s="1385"/>
      <c r="G151" s="1386"/>
      <c r="H151" s="1387"/>
      <c r="I151" s="475"/>
    </row>
    <row r="152" spans="1:9" ht="15" customHeight="1">
      <c r="A152" s="588"/>
      <c r="B152" s="1378"/>
      <c r="C152" s="1378"/>
      <c r="D152" s="1379"/>
      <c r="E152" s="587"/>
      <c r="F152" s="1385"/>
      <c r="G152" s="1386"/>
      <c r="H152" s="1387"/>
      <c r="I152" s="475"/>
    </row>
    <row r="153" spans="1:9" ht="15" customHeight="1">
      <c r="A153" s="588"/>
      <c r="B153" s="1378"/>
      <c r="C153" s="1378"/>
      <c r="D153" s="1379"/>
      <c r="E153" s="587"/>
      <c r="F153" s="1385"/>
      <c r="G153" s="1386"/>
      <c r="H153" s="1387"/>
      <c r="I153" s="475"/>
    </row>
    <row r="154" spans="1:9" ht="15" customHeight="1">
      <c r="A154" s="588"/>
      <c r="B154" s="1378"/>
      <c r="C154" s="1378"/>
      <c r="D154" s="1379"/>
      <c r="E154" s="587"/>
      <c r="F154" s="1385"/>
      <c r="G154" s="1386"/>
      <c r="H154" s="1387"/>
      <c r="I154" s="475"/>
    </row>
    <row r="155" spans="1:9" ht="15" customHeight="1">
      <c r="A155" s="588"/>
      <c r="B155" s="1378"/>
      <c r="C155" s="1378"/>
      <c r="D155" s="1379"/>
      <c r="E155" s="587"/>
      <c r="F155" s="1385"/>
      <c r="G155" s="1386"/>
      <c r="H155" s="1387"/>
      <c r="I155" s="475"/>
    </row>
    <row r="156" spans="1:9" ht="15" customHeight="1">
      <c r="A156" s="588"/>
      <c r="B156" s="1378"/>
      <c r="C156" s="1378"/>
      <c r="D156" s="1379"/>
      <c r="E156" s="587"/>
      <c r="F156" s="1385"/>
      <c r="G156" s="1386"/>
      <c r="H156" s="1387"/>
      <c r="I156" s="475"/>
    </row>
    <row r="157" spans="1:9" ht="15" customHeight="1">
      <c r="A157" s="588"/>
      <c r="B157" s="1378"/>
      <c r="C157" s="1378"/>
      <c r="D157" s="1379"/>
      <c r="E157" s="587"/>
      <c r="F157" s="1385"/>
      <c r="G157" s="1386"/>
      <c r="H157" s="1387"/>
      <c r="I157" s="475"/>
    </row>
    <row r="158" spans="1:9" ht="15" customHeight="1">
      <c r="A158" s="588"/>
      <c r="B158" s="1378"/>
      <c r="C158" s="1378"/>
      <c r="D158" s="1379"/>
      <c r="E158" s="587"/>
      <c r="F158" s="1385"/>
      <c r="G158" s="1386"/>
      <c r="H158" s="1387"/>
      <c r="I158" s="475"/>
    </row>
    <row r="159" spans="1:9" ht="15" customHeight="1">
      <c r="A159" s="588"/>
      <c r="B159" s="1378"/>
      <c r="C159" s="1378"/>
      <c r="D159" s="1379"/>
      <c r="E159" s="587"/>
      <c r="F159" s="1385"/>
      <c r="G159" s="1386"/>
      <c r="H159" s="1387"/>
      <c r="I159" s="475"/>
    </row>
    <row r="160" spans="1:9" ht="15" customHeight="1">
      <c r="A160" s="588"/>
      <c r="B160" s="1378"/>
      <c r="C160" s="1378"/>
      <c r="D160" s="1379"/>
      <c r="E160" s="587"/>
      <c r="F160" s="1385"/>
      <c r="G160" s="1386"/>
      <c r="H160" s="1387"/>
      <c r="I160" s="475"/>
    </row>
    <row r="161" spans="1:9" ht="15" customHeight="1">
      <c r="A161" s="588"/>
      <c r="B161" s="1378"/>
      <c r="C161" s="1378"/>
      <c r="D161" s="1379"/>
      <c r="E161" s="587"/>
      <c r="F161" s="1385"/>
      <c r="G161" s="1386"/>
      <c r="H161" s="1387"/>
      <c r="I161" s="475"/>
    </row>
    <row r="162" spans="1:9" ht="15" customHeight="1">
      <c r="A162" s="588"/>
      <c r="B162" s="1378"/>
      <c r="C162" s="1378"/>
      <c r="D162" s="1379"/>
      <c r="E162" s="587"/>
      <c r="F162" s="1385"/>
      <c r="G162" s="1386"/>
      <c r="H162" s="1387"/>
      <c r="I162" s="475"/>
    </row>
    <row r="163" spans="1:9" ht="15" customHeight="1">
      <c r="A163" s="588"/>
      <c r="B163" s="1378"/>
      <c r="C163" s="1378"/>
      <c r="D163" s="1379"/>
      <c r="E163" s="587"/>
      <c r="F163" s="1385"/>
      <c r="G163" s="1386"/>
      <c r="H163" s="1387"/>
      <c r="I163" s="475"/>
    </row>
    <row r="164" spans="1:9" ht="15" customHeight="1">
      <c r="A164" s="588"/>
      <c r="B164" s="1378"/>
      <c r="C164" s="1378"/>
      <c r="D164" s="1379"/>
      <c r="E164" s="587"/>
      <c r="F164" s="1385"/>
      <c r="G164" s="1386"/>
      <c r="H164" s="1387"/>
      <c r="I164" s="475"/>
    </row>
    <row r="165" spans="1:9" ht="15" customHeight="1">
      <c r="A165" s="588"/>
      <c r="B165" s="1378"/>
      <c r="C165" s="1378"/>
      <c r="D165" s="1379"/>
      <c r="E165" s="587"/>
      <c r="F165" s="1385"/>
      <c r="G165" s="1386"/>
      <c r="H165" s="1387"/>
      <c r="I165" s="475"/>
    </row>
    <row r="166" spans="1:9" ht="15" customHeight="1">
      <c r="A166" s="588"/>
      <c r="B166" s="1378"/>
      <c r="C166" s="1378"/>
      <c r="D166" s="1379"/>
      <c r="E166" s="587"/>
      <c r="F166" s="1385"/>
      <c r="G166" s="1386"/>
      <c r="H166" s="1387"/>
      <c r="I166" s="475"/>
    </row>
    <row r="167" spans="1:9" ht="15" customHeight="1">
      <c r="A167" s="588"/>
      <c r="B167" s="1378"/>
      <c r="C167" s="1378"/>
      <c r="D167" s="1379"/>
      <c r="E167" s="587"/>
      <c r="F167" s="1385"/>
      <c r="G167" s="1386"/>
      <c r="H167" s="1387"/>
      <c r="I167" s="475"/>
    </row>
    <row r="168" spans="1:9" ht="15" customHeight="1">
      <c r="A168" s="588"/>
      <c r="B168" s="1378"/>
      <c r="C168" s="1378"/>
      <c r="D168" s="1379"/>
      <c r="E168" s="587"/>
      <c r="F168" s="1385"/>
      <c r="G168" s="1386"/>
      <c r="H168" s="1387"/>
      <c r="I168" s="475"/>
    </row>
    <row r="169" spans="1:9" ht="15" customHeight="1">
      <c r="A169" s="588"/>
      <c r="B169" s="1378"/>
      <c r="C169" s="1378"/>
      <c r="D169" s="1379"/>
      <c r="E169" s="587"/>
      <c r="F169" s="1385"/>
      <c r="G169" s="1386"/>
      <c r="H169" s="1387"/>
      <c r="I169" s="475"/>
    </row>
    <row r="170" spans="1:9" ht="15" customHeight="1">
      <c r="A170" s="588"/>
      <c r="B170" s="1378"/>
      <c r="C170" s="1378"/>
      <c r="D170" s="1379"/>
      <c r="E170" s="587"/>
      <c r="F170" s="1385"/>
      <c r="G170" s="1386"/>
      <c r="H170" s="1387"/>
      <c r="I170" s="475"/>
    </row>
    <row r="171" spans="1:9" ht="15" customHeight="1">
      <c r="A171" s="588"/>
      <c r="B171" s="1378"/>
      <c r="C171" s="1378"/>
      <c r="D171" s="1379"/>
      <c r="E171" s="587"/>
      <c r="F171" s="1385"/>
      <c r="G171" s="1386"/>
      <c r="H171" s="1387"/>
      <c r="I171" s="475"/>
    </row>
    <row r="172" spans="1:9" ht="15" customHeight="1">
      <c r="A172" s="588"/>
      <c r="B172" s="1378"/>
      <c r="C172" s="1378"/>
      <c r="D172" s="1379"/>
      <c r="E172" s="587"/>
      <c r="F172" s="1385"/>
      <c r="G172" s="1386"/>
      <c r="H172" s="1387"/>
      <c r="I172" s="475"/>
    </row>
    <row r="173" spans="1:9" ht="15" customHeight="1">
      <c r="A173" s="588"/>
      <c r="B173" s="1378"/>
      <c r="C173" s="1378"/>
      <c r="D173" s="1379"/>
      <c r="E173" s="587"/>
      <c r="F173" s="1385"/>
      <c r="G173" s="1386"/>
      <c r="H173" s="1387"/>
      <c r="I173" s="475"/>
    </row>
    <row r="174" spans="1:9" ht="15" customHeight="1">
      <c r="A174" s="588"/>
      <c r="B174" s="1378"/>
      <c r="C174" s="1378"/>
      <c r="D174" s="1379"/>
      <c r="E174" s="587"/>
      <c r="F174" s="1385"/>
      <c r="G174" s="1386"/>
      <c r="H174" s="1387"/>
      <c r="I174" s="475"/>
    </row>
    <row r="175" spans="1:9" ht="15" customHeight="1">
      <c r="A175" s="588"/>
      <c r="B175" s="1378"/>
      <c r="C175" s="1378"/>
      <c r="D175" s="1379"/>
      <c r="E175" s="587"/>
      <c r="F175" s="1385"/>
      <c r="G175" s="1386"/>
      <c r="H175" s="1387"/>
      <c r="I175" s="475"/>
    </row>
    <row r="176" spans="1:9" ht="15" customHeight="1">
      <c r="A176" s="588"/>
      <c r="B176" s="1378"/>
      <c r="C176" s="1378"/>
      <c r="D176" s="1379"/>
      <c r="E176" s="587"/>
      <c r="F176" s="1385"/>
      <c r="G176" s="1386"/>
      <c r="H176" s="1387"/>
      <c r="I176" s="475"/>
    </row>
    <row r="177" spans="1:11" ht="15" customHeight="1">
      <c r="A177" s="588"/>
      <c r="B177" s="1378"/>
      <c r="C177" s="1378"/>
      <c r="D177" s="1379"/>
      <c r="E177" s="587"/>
      <c r="F177" s="1385"/>
      <c r="G177" s="1386"/>
      <c r="H177" s="1387"/>
      <c r="I177" s="475"/>
    </row>
    <row r="178" spans="1:11" ht="15" customHeight="1">
      <c r="A178" s="588"/>
      <c r="B178" s="1378"/>
      <c r="C178" s="1378"/>
      <c r="D178" s="1379"/>
      <c r="E178" s="587"/>
      <c r="F178" s="1385"/>
      <c r="G178" s="1386"/>
      <c r="H178" s="1387"/>
      <c r="I178" s="475"/>
    </row>
    <row r="179" spans="1:11" ht="15" customHeight="1">
      <c r="A179" s="588"/>
      <c r="B179" s="1378"/>
      <c r="C179" s="1378"/>
      <c r="D179" s="1379"/>
      <c r="E179" s="587"/>
      <c r="F179" s="1385"/>
      <c r="G179" s="1386"/>
      <c r="H179" s="1387"/>
      <c r="I179" s="475"/>
    </row>
    <row r="180" spans="1:11">
      <c r="A180" s="660"/>
      <c r="B180" s="661"/>
      <c r="C180" s="661"/>
      <c r="D180" s="661"/>
      <c r="E180" s="986"/>
      <c r="F180" s="661"/>
      <c r="G180" s="661"/>
      <c r="H180" s="838"/>
      <c r="I180" s="615">
        <f>SUM(I14,I18,I20,I22,I24,I26,I32,I34,SUM(F37,F42,F44),SUM(I47,I122),SUM(F55,F58,F61),SUM(I64,F67,F70),SUM(F107,F110,F113))</f>
        <v>0</v>
      </c>
    </row>
    <row r="181" spans="1:11" hidden="1">
      <c r="I181" s="721" t="str">
        <f>IF(OR(COUNTIF(J181:K181,"KO")&gt;0,E72="",F44="",F55="",F58="",F61=""),"KO","OK")</f>
        <v>KO</v>
      </c>
      <c r="J181" s="615" t="str">
        <f>IF(OR(F6=0,F8=0,I11=0,I18=0,I20=0,I22=0,I32=0,I34=0,F37=0,I122=0,),"KO","OK")</f>
        <v>KO</v>
      </c>
      <c r="K181" s="615" t="str">
        <f>IF(I64=1,(IF(OR(F67&gt;0,F70&gt;0),"OK","KO")),"OK")</f>
        <v>OK</v>
      </c>
    </row>
  </sheetData>
  <sheetProtection password="EA98" sheet="1" formatColumns="0" selectLockedCells="1"/>
  <mergeCells count="32">
    <mergeCell ref="C49:E49"/>
    <mergeCell ref="B52:E52"/>
    <mergeCell ref="B55:E55"/>
    <mergeCell ref="G55:H55"/>
    <mergeCell ref="B107:E107"/>
    <mergeCell ref="G107:H107"/>
    <mergeCell ref="B113:E113"/>
    <mergeCell ref="G113:H113"/>
    <mergeCell ref="G58:H58"/>
    <mergeCell ref="B64:E64"/>
    <mergeCell ref="B110:E110"/>
    <mergeCell ref="G110:H110"/>
    <mergeCell ref="B122:E122"/>
    <mergeCell ref="B18:E18"/>
    <mergeCell ref="B20:E20"/>
    <mergeCell ref="B22:E22"/>
    <mergeCell ref="B130:D179"/>
    <mergeCell ref="F130:H179"/>
    <mergeCell ref="C70:E70"/>
    <mergeCell ref="G70:H70"/>
    <mergeCell ref="B58:E58"/>
    <mergeCell ref="G37:H37"/>
    <mergeCell ref="G26:H29"/>
    <mergeCell ref="B32:E32"/>
    <mergeCell ref="G44:H44"/>
    <mergeCell ref="B37:E37"/>
    <mergeCell ref="C67:E67"/>
    <mergeCell ref="B61:E61"/>
    <mergeCell ref="G67:H67"/>
    <mergeCell ref="B44:E44"/>
    <mergeCell ref="G61:H61"/>
    <mergeCell ref="B47:E47"/>
  </mergeCells>
  <dataValidations count="4">
    <dataValidation type="decimal" allowBlank="1" showInputMessage="1" showErrorMessage="1" errorTitle="ATTENZIONE" error="INSERIRE SOLO VALORI NUMERICI CON DUE DECIMALI" sqref="F37 F6 F8">
      <formula1>0.01</formula1>
      <formula2>100</formula2>
    </dataValidation>
    <dataValidation type="whole" allowBlank="1" showInputMessage="1" showErrorMessage="1" errorTitle="ERRORE NEL DATO IMMESSO" error="INSERIRE SOLO NUMERI INTERI" sqref="E105 E130:E179">
      <formula1>1</formula1>
      <formula2>99999</formula2>
    </dataValidation>
    <dataValidation type="whole" allowBlank="1" showInputMessage="1" showErrorMessage="1" errorTitle="ATTENZIONE" error="INSERIRE SOLO VALORI NUMERICI INTERI" sqref="F58 F64:F65 F44 F42 F40 F26:F29 F55 F67:F68 F61:F62 F70 F107 F110 F113:F119 F47:F50 F52:F53">
      <formula1>0</formula1>
      <formula2>999999999999</formula2>
    </dataValidation>
    <dataValidation type="list" allowBlank="1" showInputMessage="1" showErrorMessage="1" sqref="F122:F128">
      <formula1>"_, SI, No, Non Tenuto"</formula1>
    </dataValidation>
  </dataValidations>
  <printOptions horizontalCentered="1"/>
  <pageMargins left="0.23622047244094491" right="0.23622047244094491" top="0.59055118110236227" bottom="0.98425196850393704" header="0.51181102362204722" footer="0.51181102362204722"/>
  <pageSetup paperSize="9" scale="38" orientation="portrait" horizontalDpi="0" verticalDpi="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42">
    <pageSetUpPr fitToPage="1"/>
  </sheetPr>
  <dimension ref="A1:K163"/>
  <sheetViews>
    <sheetView zoomScale="75" zoomScaleNormal="75" workbookViewId="0">
      <selection activeCell="F10" sqref="F10"/>
    </sheetView>
  </sheetViews>
  <sheetFormatPr defaultColWidth="12.85546875" defaultRowHeight="15"/>
  <cols>
    <col min="1" max="1" width="6.85546875" style="655" customWidth="1"/>
    <col min="2" max="2" width="7.7109375" style="662" customWidth="1"/>
    <col min="3" max="3" width="21" style="662" customWidth="1"/>
    <col min="4" max="4" width="56.140625" style="662" customWidth="1"/>
    <col min="5" max="5" width="22.42578125" style="662" customWidth="1"/>
    <col min="6" max="6" width="23.140625" style="662" customWidth="1"/>
    <col min="7" max="7" width="21.42578125" style="662" customWidth="1"/>
    <col min="8" max="8" width="99.42578125" style="839" customWidth="1"/>
    <col min="9" max="9" width="6.42578125" style="618" hidden="1" customWidth="1"/>
    <col min="10" max="10" width="7.28515625" style="615" hidden="1" customWidth="1"/>
    <col min="11" max="11" width="8.7109375" style="615" hidden="1" customWidth="1"/>
    <col min="12" max="14" width="12.85546875" style="615" customWidth="1"/>
    <col min="15" max="16384" width="12.85546875" style="615"/>
  </cols>
  <sheetData>
    <row r="1" spans="1:10" ht="62.25" customHeight="1">
      <c r="B1" s="656"/>
      <c r="C1" s="656"/>
      <c r="D1" s="656"/>
      <c r="E1" s="656"/>
      <c r="F1" s="656"/>
      <c r="G1" s="656"/>
      <c r="H1" s="829" t="s">
        <v>422</v>
      </c>
      <c r="I1" s="566"/>
    </row>
    <row r="2" spans="1:10" ht="26.25" customHeight="1" thickBot="1">
      <c r="A2" s="657"/>
      <c r="B2" s="658"/>
      <c r="C2" s="658"/>
      <c r="D2" s="560" t="str">
        <f>'t1'!A1</f>
        <v>COMPARTO REGIONI ED AUTONOMIE LOCALI - anno 2017</v>
      </c>
      <c r="E2" s="658"/>
      <c r="F2" s="658"/>
      <c r="G2" s="658"/>
      <c r="H2" s="830"/>
      <c r="I2" s="566"/>
    </row>
    <row r="3" spans="1:10" ht="9.6" customHeight="1">
      <c r="B3" s="656"/>
      <c r="C3" s="656"/>
      <c r="D3" s="656"/>
      <c r="E3" s="656"/>
      <c r="F3" s="846"/>
      <c r="G3" s="846"/>
      <c r="H3" s="835"/>
      <c r="I3" s="566"/>
    </row>
    <row r="4" spans="1:10" ht="15" customHeight="1">
      <c r="A4" s="1395" t="s">
        <v>785</v>
      </c>
      <c r="B4" s="1396"/>
      <c r="C4" s="1396"/>
      <c r="D4" s="656"/>
      <c r="E4" s="656"/>
      <c r="F4" s="846"/>
      <c r="G4" s="846"/>
      <c r="H4" s="835"/>
      <c r="I4" s="566"/>
    </row>
    <row r="5" spans="1:10" ht="9.6" customHeight="1">
      <c r="B5" s="656"/>
      <c r="C5" s="656"/>
      <c r="D5" s="656"/>
      <c r="E5" s="656"/>
      <c r="F5" s="846"/>
      <c r="G5" s="846"/>
      <c r="H5" s="835"/>
      <c r="I5" s="566"/>
    </row>
    <row r="6" spans="1:10" ht="15" customHeight="1">
      <c r="B6" s="656"/>
      <c r="C6" s="656"/>
      <c r="D6" s="656"/>
      <c r="E6" s="656"/>
      <c r="F6" s="570" t="s">
        <v>313</v>
      </c>
      <c r="G6" s="570" t="s">
        <v>314</v>
      </c>
      <c r="H6" s="831"/>
      <c r="I6" s="566"/>
    </row>
    <row r="7" spans="1:10" ht="30" customHeight="1">
      <c r="A7" s="655" t="s">
        <v>348</v>
      </c>
      <c r="B7" s="1366" t="s">
        <v>786</v>
      </c>
      <c r="C7" s="1366"/>
      <c r="D7" s="1366"/>
      <c r="E7" s="1367"/>
      <c r="F7" s="521"/>
      <c r="G7" s="521"/>
      <c r="H7" s="931" t="str">
        <f>IF(I7=0,"RISPOSTA OBBLIGATORIA SOLO SE SI E' RISPOSTO SI' ALLA DOMANDA 15 DELLA SI_1A","")</f>
        <v>RISPOSTA OBBLIGATORIA SOLO SE SI E' RISPOSTO SI' ALLA DOMANDA 15 DELLA SI_1A</v>
      </c>
      <c r="I7" s="566">
        <v>0</v>
      </c>
      <c r="J7" s="615" t="str">
        <f>IF(I7=1,"VERO",IF(I7=2,"FALSO",""))</f>
        <v/>
      </c>
    </row>
    <row r="8" spans="1:10" ht="15.6" customHeight="1">
      <c r="A8" s="707"/>
      <c r="B8" s="846"/>
      <c r="C8" s="846"/>
      <c r="D8" s="846"/>
      <c r="E8" s="846"/>
      <c r="F8" s="846"/>
      <c r="G8" s="846"/>
      <c r="H8" s="835"/>
      <c r="I8" s="566"/>
    </row>
    <row r="9" spans="1:10" ht="15" customHeight="1">
      <c r="B9" s="656"/>
      <c r="C9" s="656"/>
      <c r="D9" s="656"/>
      <c r="E9" s="656"/>
      <c r="F9" s="570" t="s">
        <v>787</v>
      </c>
      <c r="G9" s="656"/>
      <c r="H9" s="831"/>
      <c r="I9" s="566"/>
    </row>
    <row r="10" spans="1:10" ht="30" customHeight="1">
      <c r="A10" s="655" t="s">
        <v>349</v>
      </c>
      <c r="B10" s="656"/>
      <c r="C10" s="1391" t="s">
        <v>788</v>
      </c>
      <c r="D10" s="1391"/>
      <c r="E10" s="1397"/>
      <c r="F10" s="575"/>
      <c r="G10" s="1356" t="str">
        <f>IF($I$7=2,IF($F$10=0,"RISPOSTA OBBLIGATORIA"," "),IF(AND(I7=1,F10&gt;0),"LA RISPOSTA DATA IN QUESTA SEZIONE NON VERRA' CONSIDERATA",IF(F10&gt;0,"RISPONDERE NO ALLA DOMANDA 1"," ")))</f>
        <v xml:space="preserve"> </v>
      </c>
      <c r="H10" s="1398"/>
      <c r="I10" s="566"/>
    </row>
    <row r="11" spans="1:10" ht="14.4" customHeight="1">
      <c r="A11" s="707"/>
      <c r="B11" s="846"/>
      <c r="C11" s="846"/>
      <c r="D11" s="846"/>
      <c r="E11" s="846"/>
      <c r="F11" s="846"/>
      <c r="G11" s="846"/>
      <c r="H11" s="835"/>
      <c r="I11" s="566"/>
    </row>
    <row r="12" spans="1:10" ht="30" customHeight="1">
      <c r="B12" s="656"/>
      <c r="C12" s="1391" t="s">
        <v>789</v>
      </c>
      <c r="D12" s="1391"/>
      <c r="E12" s="1397"/>
      <c r="F12" s="570" t="s">
        <v>313</v>
      </c>
      <c r="G12" s="570" t="s">
        <v>314</v>
      </c>
      <c r="H12" s="831"/>
      <c r="I12" s="566"/>
    </row>
    <row r="13" spans="1:10" ht="33" customHeight="1">
      <c r="B13" s="656">
        <v>5</v>
      </c>
      <c r="C13" s="1399" t="s">
        <v>756</v>
      </c>
      <c r="D13" s="1399"/>
      <c r="E13" s="1399"/>
      <c r="F13" s="664"/>
      <c r="G13" s="664"/>
      <c r="H13" s="835" t="str">
        <f>IF($I$7=1,IF(I13=0,"RISPOSTA OBBLIGATORIA"," "),IF(OR($I$7=2,$F$10&gt;0),"LA RISPOSTA DATA IN QUESTA SEZIONE NON VERRA' CONSIDERATA",IF(I13&gt;0,"RISPONDERE ALLA DOMANDA 1"," ")))</f>
        <v xml:space="preserve"> </v>
      </c>
      <c r="I13" s="566">
        <v>0</v>
      </c>
      <c r="J13" s="615" t="str">
        <f>IF(I13=1,"VERO",IF(I13=2,"FALSO",""))</f>
        <v/>
      </c>
    </row>
    <row r="14" spans="1:10" ht="9.6" customHeight="1">
      <c r="B14" s="656"/>
      <c r="C14" s="1399"/>
      <c r="D14" s="1399"/>
      <c r="E14" s="1399"/>
      <c r="F14" s="656"/>
      <c r="G14" s="656"/>
      <c r="H14" s="836"/>
      <c r="I14" s="566"/>
    </row>
    <row r="15" spans="1:10" ht="33" customHeight="1">
      <c r="B15" s="656">
        <v>6</v>
      </c>
      <c r="C15" s="1399" t="s">
        <v>757</v>
      </c>
      <c r="D15" s="1399"/>
      <c r="E15" s="1399"/>
      <c r="F15" s="664"/>
      <c r="G15" s="664"/>
      <c r="H15" s="835" t="str">
        <f>IF($I$7=1,IF(I15=0,"RISPOSTA OBBLIGATORIA"," "),IF(OR($I$7=2,$F$10&gt;0),"LA RISPOSTA DATA IN QUESTA SEZIONE NON VERRA' CONSIDERATA",IF(I15&gt;0,"RISPONDERE ALLA DOMANDA 1"," ")))</f>
        <v xml:space="preserve"> </v>
      </c>
      <c r="I15" s="566">
        <v>0</v>
      </c>
      <c r="J15" s="615" t="str">
        <f>IF(I15=1,"VERO",IF(I15=2,"FALSO",""))</f>
        <v/>
      </c>
    </row>
    <row r="16" spans="1:10" ht="9.6" customHeight="1">
      <c r="B16" s="656"/>
      <c r="C16" s="1399"/>
      <c r="D16" s="1399"/>
      <c r="E16" s="1399"/>
      <c r="F16" s="656"/>
      <c r="G16" s="656"/>
      <c r="H16" s="836"/>
      <c r="I16" s="566"/>
    </row>
    <row r="17" spans="1:10" ht="33" customHeight="1">
      <c r="B17" s="656">
        <v>7</v>
      </c>
      <c r="C17" s="1399" t="s">
        <v>758</v>
      </c>
      <c r="D17" s="1399"/>
      <c r="E17" s="1399"/>
      <c r="F17" s="664"/>
      <c r="G17" s="664"/>
      <c r="H17" s="835" t="str">
        <f>IF($I$7=1,IF(I17=0,"RISPOSTA OBBLIGATORIA"," "),IF(OR($I$7=2,$F$10&gt;0),"LA RISPOSTA DATA IN QUESTA SEZIONE NON VERRA' CONSIDERATA",IF(I17&gt;0,"RISPONDERE ALLA DOMANDA 1"," ")))</f>
        <v xml:space="preserve"> </v>
      </c>
      <c r="I17" s="566">
        <v>0</v>
      </c>
      <c r="J17" s="615" t="str">
        <f>IF(I17=1,"VERO",IF(I17=2,"FALSO",""))</f>
        <v/>
      </c>
    </row>
    <row r="18" spans="1:10" ht="9.6" customHeight="1">
      <c r="B18" s="656"/>
      <c r="C18" s="1399"/>
      <c r="D18" s="1399"/>
      <c r="E18" s="1399"/>
      <c r="F18" s="656"/>
      <c r="G18" s="656"/>
      <c r="H18" s="836"/>
      <c r="I18" s="566"/>
    </row>
    <row r="19" spans="1:10" ht="33" customHeight="1">
      <c r="B19" s="656">
        <v>8</v>
      </c>
      <c r="C19" s="1399" t="s">
        <v>759</v>
      </c>
      <c r="D19" s="1399"/>
      <c r="E19" s="1399"/>
      <c r="F19" s="664"/>
      <c r="G19" s="664"/>
      <c r="H19" s="835" t="str">
        <f>IF($I$7=1,IF(I19=0,"RISPOSTA OBBLIGATORIA"," "),IF(OR($I$7=2,$F$10&gt;0),"LA RISPOSTA DATA IN QUESTA SEZIONE NON VERRA' CONSIDERATA",IF(I19&gt;0,"RISPONDERE ALLA DOMANDA 1"," ")))</f>
        <v xml:space="preserve"> </v>
      </c>
      <c r="I19" s="566">
        <v>0</v>
      </c>
      <c r="J19" s="615" t="str">
        <f>IF(I19=1,"VERO",IF(I19=2,"FALSO",""))</f>
        <v/>
      </c>
    </row>
    <row r="20" spans="1:10" ht="9.6" customHeight="1">
      <c r="A20" s="707"/>
      <c r="B20" s="846"/>
      <c r="C20" s="1399"/>
      <c r="D20" s="1399"/>
      <c r="E20" s="1399"/>
      <c r="F20" s="712"/>
      <c r="G20" s="708"/>
      <c r="H20" s="847"/>
      <c r="I20" s="566"/>
    </row>
    <row r="21" spans="1:10" ht="33" customHeight="1">
      <c r="B21" s="656">
        <v>9</v>
      </c>
      <c r="C21" s="1399" t="s">
        <v>760</v>
      </c>
      <c r="D21" s="1399"/>
      <c r="E21" s="1399"/>
      <c r="F21" s="664"/>
      <c r="G21" s="664"/>
      <c r="H21" s="835" t="str">
        <f>IF($I$7=1,IF(I21=0,"RISPOSTA OBBLIGATORIA"," "),IF(OR($I$7=2,$F$10&gt;0),"LA RISPOSTA DATA IN QUESTA SEZIONE NON VERRA' CONSIDERATA",IF(I21&gt;0,"RISPONDERE ALLA DOMANDA 1"," ")))</f>
        <v xml:space="preserve"> </v>
      </c>
      <c r="I21" s="566">
        <v>0</v>
      </c>
      <c r="J21" s="615" t="str">
        <f>IF(I21=1,"VERO",IF(I21=2,"FALSO",""))</f>
        <v/>
      </c>
    </row>
    <row r="22" spans="1:10" ht="9.6" customHeight="1">
      <c r="B22" s="656"/>
      <c r="C22" s="1399"/>
      <c r="D22" s="1399"/>
      <c r="E22" s="1399"/>
      <c r="F22" s="656"/>
      <c r="G22" s="656"/>
      <c r="H22" s="836"/>
      <c r="I22" s="566"/>
    </row>
    <row r="23" spans="1:10" ht="33" customHeight="1">
      <c r="B23" s="656">
        <v>10</v>
      </c>
      <c r="C23" s="1399" t="s">
        <v>761</v>
      </c>
      <c r="D23" s="1399"/>
      <c r="E23" s="1399"/>
      <c r="F23" s="664"/>
      <c r="G23" s="664"/>
      <c r="H23" s="835" t="str">
        <f>IF($I$7=1,IF(I23=0,"RISPOSTA OBBLIGATORIA"," "),IF(OR($I$7=2,$F$10&gt;0),"LA RISPOSTA DATA IN QUESTA SEZIONE NON VERRA' CONSIDERATA",IF(I23&gt;0,"RISPONDERE ALLA DOMANDA 1"," ")))</f>
        <v xml:space="preserve"> </v>
      </c>
      <c r="I23" s="566">
        <v>0</v>
      </c>
      <c r="J23" s="615" t="str">
        <f>IF(I23=1,"VERO",IF(I23=2,"FALSO",""))</f>
        <v/>
      </c>
    </row>
    <row r="24" spans="1:10" ht="9.6" customHeight="1">
      <c r="B24" s="656"/>
      <c r="C24" s="1399"/>
      <c r="D24" s="1399"/>
      <c r="E24" s="1399"/>
      <c r="F24" s="656"/>
      <c r="G24" s="656"/>
      <c r="H24" s="836"/>
      <c r="I24" s="566"/>
    </row>
    <row r="25" spans="1:10" ht="36.9" customHeight="1">
      <c r="B25" s="656">
        <v>11</v>
      </c>
      <c r="C25" s="1399" t="s">
        <v>762</v>
      </c>
      <c r="D25" s="1399"/>
      <c r="E25" s="1399"/>
      <c r="F25" s="664"/>
      <c r="G25" s="664"/>
      <c r="H25" s="835" t="str">
        <f>IF($I$7=1,IF(I25=0,"RISPOSTA OBBLIGATORIA"," "),IF(OR($I$7=2,$F$10&gt;0),"LA RISPOSTA DATA IN QUESTA SEZIONE NON VERRA' CONSIDERATA",IF(I25&gt;0,"RISPONDERE ALLA DOMANDA 1"," ")))</f>
        <v xml:space="preserve"> </v>
      </c>
      <c r="I25" s="566">
        <v>0</v>
      </c>
      <c r="J25" s="615" t="str">
        <f>IF(I25=1,"VERO",IF(I25=2,"FALSO",""))</f>
        <v/>
      </c>
    </row>
    <row r="26" spans="1:10" ht="9.6" customHeight="1">
      <c r="B26" s="656"/>
      <c r="C26" s="1399"/>
      <c r="D26" s="1399"/>
      <c r="E26" s="1399"/>
      <c r="F26" s="656"/>
      <c r="G26" s="656"/>
      <c r="H26" s="836"/>
      <c r="I26" s="566"/>
    </row>
    <row r="27" spans="1:10" ht="33" customHeight="1">
      <c r="B27" s="656">
        <v>12</v>
      </c>
      <c r="C27" s="1399" t="s">
        <v>763</v>
      </c>
      <c r="D27" s="1399"/>
      <c r="E27" s="1399"/>
      <c r="F27" s="664"/>
      <c r="G27" s="664"/>
      <c r="H27" s="835" t="str">
        <f>IF($I$7=1,IF(I27=0,"RISPOSTA OBBLIGATORIA"," "),IF(OR($I$7=2,$F$10&gt;0),"LA RISPOSTA DATA IN QUESTA SEZIONE NON VERRA' CONSIDERATA",IF(I27&gt;0,"RISPONDERE ALLA DOMANDA 1"," ")))</f>
        <v xml:space="preserve"> </v>
      </c>
      <c r="I27" s="566">
        <v>0</v>
      </c>
      <c r="J27" s="615" t="str">
        <f>IF(I27=1,"VERO",IF(I27=2,"FALSO",""))</f>
        <v/>
      </c>
    </row>
    <row r="28" spans="1:10" ht="9.6" customHeight="1">
      <c r="B28" s="656"/>
      <c r="C28" s="1399"/>
      <c r="D28" s="1399"/>
      <c r="E28" s="1399"/>
      <c r="F28" s="656"/>
      <c r="G28" s="656"/>
      <c r="H28" s="836"/>
      <c r="I28" s="566"/>
    </row>
    <row r="29" spans="1:10" ht="33" customHeight="1">
      <c r="B29" s="656">
        <v>13</v>
      </c>
      <c r="C29" s="1399" t="s">
        <v>764</v>
      </c>
      <c r="D29" s="1399"/>
      <c r="E29" s="1399"/>
      <c r="F29" s="664"/>
      <c r="G29" s="664"/>
      <c r="H29" s="835" t="str">
        <f>IF($I$7=1,IF(I29=0,"RISPOSTA OBBLIGATORIA"," "),IF(OR($I$7=2,$F$10&gt;0),"LA RISPOSTA DATA IN QUESTA SEZIONE NON VERRA' CONSIDERATA",IF(I29&gt;0,"RISPONDERE ALLA DOMANDA 1"," ")))</f>
        <v xml:space="preserve"> </v>
      </c>
      <c r="I29" s="566">
        <v>0</v>
      </c>
      <c r="J29" s="615" t="str">
        <f>IF(I29=1,"VERO",IF(I29=2,"FALSO",""))</f>
        <v/>
      </c>
    </row>
    <row r="30" spans="1:10" ht="9.6" customHeight="1">
      <c r="B30" s="656"/>
      <c r="C30" s="1399"/>
      <c r="D30" s="1399"/>
      <c r="E30" s="1399"/>
      <c r="F30" s="656"/>
      <c r="G30" s="656"/>
      <c r="H30" s="836"/>
      <c r="I30" s="566"/>
    </row>
    <row r="31" spans="1:10" ht="38.4" customHeight="1">
      <c r="B31" s="656">
        <v>14</v>
      </c>
      <c r="C31" s="1399" t="s">
        <v>790</v>
      </c>
      <c r="D31" s="1399"/>
      <c r="E31" s="1399"/>
      <c r="F31" s="664"/>
      <c r="G31" s="664"/>
      <c r="H31" s="835" t="str">
        <f>IF($I$7=1,IF(I31=0,"RISPOSTA OBBLIGATORIA"," "),IF(OR($I$7=2,$F$10&gt;0),"LA RISPOSTA DATA IN QUESTA SEZIONE NON VERRA' CONSIDERATA",IF(I31&gt;0,"RISPONDERE ALLA DOMANDA 1"," ")))</f>
        <v xml:space="preserve"> </v>
      </c>
      <c r="I31" s="566">
        <v>0</v>
      </c>
      <c r="J31" s="615" t="str">
        <f>IF(I31=1,"VERO",IF(I31=2,"FALSO",""))</f>
        <v/>
      </c>
    </row>
    <row r="32" spans="1:10" ht="9.6" customHeight="1">
      <c r="B32" s="656"/>
      <c r="C32" s="1399"/>
      <c r="D32" s="1399"/>
      <c r="E32" s="1399"/>
      <c r="F32" s="656"/>
      <c r="G32" s="656"/>
      <c r="H32" s="836"/>
      <c r="I32" s="566"/>
    </row>
    <row r="33" spans="1:10" ht="33" customHeight="1">
      <c r="B33" s="656">
        <v>15</v>
      </c>
      <c r="C33" s="1399" t="s">
        <v>462</v>
      </c>
      <c r="D33" s="1399"/>
      <c r="E33" s="1399"/>
      <c r="F33" s="848"/>
      <c r="G33" s="848"/>
      <c r="H33" s="835" t="str">
        <f>IF($I$7=1,IF(I33=0,"RISPOSTA OBBLIGATORIA"," "),IF(OR($I$7=2,$F$10&gt;0),"LA RISPOSTA DATA IN QUESTA SEZIONE NON VERRA' CONSIDERATA",IF(I33&gt;0,"RISPONDERE ALLA DOMANDA 1"," ")))</f>
        <v xml:space="preserve"> </v>
      </c>
      <c r="I33" s="566">
        <v>0</v>
      </c>
      <c r="J33" s="615" t="str">
        <f>IF(I33=1,"VERO",IF(I33=2,"FALSO",""))</f>
        <v/>
      </c>
    </row>
    <row r="34" spans="1:10" ht="9.6" customHeight="1" thickBot="1">
      <c r="A34" s="657"/>
      <c r="B34" s="658"/>
      <c r="C34" s="1400"/>
      <c r="D34" s="1400"/>
      <c r="E34" s="1400"/>
      <c r="F34" s="658"/>
      <c r="G34" s="658"/>
      <c r="H34" s="849"/>
      <c r="I34" s="566"/>
    </row>
    <row r="35" spans="1:10" ht="9.6" customHeight="1">
      <c r="B35" s="656"/>
      <c r="C35" s="1399"/>
      <c r="D35" s="1399"/>
      <c r="E35" s="1399"/>
      <c r="F35" s="656"/>
      <c r="G35" s="656"/>
      <c r="H35" s="836"/>
      <c r="I35" s="566"/>
    </row>
    <row r="36" spans="1:10" ht="15" customHeight="1">
      <c r="A36" s="1395" t="s">
        <v>791</v>
      </c>
      <c r="B36" s="1401"/>
      <c r="C36" s="1401"/>
      <c r="D36" s="842"/>
      <c r="E36" s="842"/>
      <c r="F36" s="656"/>
      <c r="G36" s="656"/>
      <c r="H36" s="836"/>
      <c r="I36" s="566"/>
    </row>
    <row r="37" spans="1:10" ht="9.6" customHeight="1">
      <c r="B37" s="656"/>
      <c r="C37" s="842"/>
      <c r="D37" s="842"/>
      <c r="E37" s="842"/>
      <c r="F37" s="656"/>
      <c r="G37" s="656"/>
      <c r="H37" s="836"/>
      <c r="I37" s="566"/>
    </row>
    <row r="38" spans="1:10" ht="15" customHeight="1">
      <c r="B38" s="656"/>
      <c r="C38" s="656"/>
      <c r="D38" s="656"/>
      <c r="E38" s="656"/>
      <c r="F38" s="570" t="s">
        <v>313</v>
      </c>
      <c r="G38" s="570" t="s">
        <v>314</v>
      </c>
      <c r="H38" s="831"/>
      <c r="I38" s="566"/>
    </row>
    <row r="39" spans="1:10" ht="30" customHeight="1">
      <c r="A39" s="655" t="s">
        <v>423</v>
      </c>
      <c r="B39" s="1366" t="s">
        <v>786</v>
      </c>
      <c r="C39" s="1366"/>
      <c r="D39" s="1366"/>
      <c r="E39" s="1367"/>
      <c r="F39" s="521"/>
      <c r="G39" s="521"/>
      <c r="H39" s="720"/>
      <c r="I39" s="566">
        <v>0</v>
      </c>
      <c r="J39" s="615" t="str">
        <f>IF(I39=1,"VERO",IF(I39=2,"FALSO",""))</f>
        <v/>
      </c>
    </row>
    <row r="40" spans="1:10" ht="15.6" customHeight="1">
      <c r="A40" s="707"/>
      <c r="B40" s="846"/>
      <c r="C40" s="846"/>
      <c r="D40" s="846"/>
      <c r="E40" s="846"/>
      <c r="F40" s="846"/>
      <c r="G40" s="846"/>
      <c r="H40" s="835"/>
      <c r="I40" s="566"/>
    </row>
    <row r="41" spans="1:10" ht="15" customHeight="1">
      <c r="B41" s="656"/>
      <c r="C41" s="656"/>
      <c r="D41" s="656"/>
      <c r="E41" s="656"/>
      <c r="F41" s="570" t="s">
        <v>787</v>
      </c>
      <c r="G41" s="656"/>
      <c r="H41" s="831"/>
      <c r="I41" s="566"/>
    </row>
    <row r="42" spans="1:10" ht="30" customHeight="1">
      <c r="A42" s="655" t="s">
        <v>444</v>
      </c>
      <c r="B42" s="656"/>
      <c r="C42" s="1391" t="s">
        <v>788</v>
      </c>
      <c r="D42" s="1391"/>
      <c r="E42" s="1397"/>
      <c r="F42" s="575"/>
      <c r="G42" s="1356" t="str">
        <f>IF($I$39=2,IF($F$42=0,"RISPOSTA OBBLIGATORIA"," "),IF(AND(I39=1,F42&gt;0),"LA RISPOSTA DATA IN QUESTA SEZIONE NON VERRA' CONSIDERATA",IF(F42&gt;0,"RISPONDERE NO ALLA DOMANDA 16"," ")))</f>
        <v xml:space="preserve"> </v>
      </c>
      <c r="H42" s="1398"/>
      <c r="I42" s="566"/>
    </row>
    <row r="43" spans="1:10" ht="14.4" customHeight="1">
      <c r="A43" s="707"/>
      <c r="B43" s="846"/>
      <c r="C43" s="846"/>
      <c r="D43" s="846"/>
      <c r="E43" s="846"/>
      <c r="F43" s="846"/>
      <c r="G43" s="846"/>
      <c r="H43" s="835"/>
      <c r="I43" s="566"/>
    </row>
    <row r="44" spans="1:10" ht="30" customHeight="1">
      <c r="B44" s="656"/>
      <c r="C44" s="1391" t="s">
        <v>789</v>
      </c>
      <c r="D44" s="1391"/>
      <c r="E44" s="1397"/>
      <c r="F44" s="570" t="s">
        <v>313</v>
      </c>
      <c r="G44" s="570" t="s">
        <v>314</v>
      </c>
      <c r="H44" s="831"/>
      <c r="I44" s="566"/>
    </row>
    <row r="45" spans="1:10" ht="33" customHeight="1">
      <c r="B45" s="656">
        <v>20</v>
      </c>
      <c r="C45" s="1399" t="s">
        <v>756</v>
      </c>
      <c r="D45" s="1399"/>
      <c r="E45" s="1399"/>
      <c r="F45" s="664"/>
      <c r="G45" s="664"/>
      <c r="H45" s="835" t="str">
        <f>IF($I$39=1,IF(I45=0,"RISPOSTA OBBLIGATORIA"," "),IF(OR($I$39=2,$F$42&gt;0),"LA RISPOSTA DATA IN QUESTA SEZIONE NON VERRA' CONSIDERATA",IF(I45&gt;0,"RISPONDERE ALLA DOMANDA 16"," ")))</f>
        <v xml:space="preserve"> </v>
      </c>
      <c r="I45" s="566">
        <v>0</v>
      </c>
      <c r="J45" s="615" t="str">
        <f>IF(I45=1,"VERO",IF(I45=2,"FALSO",""))</f>
        <v/>
      </c>
    </row>
    <row r="46" spans="1:10" ht="9.6" customHeight="1">
      <c r="B46" s="656"/>
      <c r="C46" s="1399"/>
      <c r="D46" s="1399"/>
      <c r="E46" s="1399"/>
      <c r="F46" s="656"/>
      <c r="G46" s="656"/>
      <c r="H46" s="836"/>
      <c r="I46" s="566"/>
    </row>
    <row r="47" spans="1:10" ht="33" customHeight="1">
      <c r="B47" s="656">
        <v>21</v>
      </c>
      <c r="C47" s="1399" t="s">
        <v>757</v>
      </c>
      <c r="D47" s="1399"/>
      <c r="E47" s="1399"/>
      <c r="F47" s="664"/>
      <c r="G47" s="664"/>
      <c r="H47" s="835" t="str">
        <f>IF($I$39=1,IF(I47=0,"RISPOSTA OBBLIGATORIA"," "),IF(OR($I$39=2,$F$42&gt;0),"LA RISPOSTA DATA IN QUESTA SEZIONE NON VERRA' CONSIDERATA",IF(I47&gt;0,"RISPONDERE ALLA DOMANDA 16"," ")))</f>
        <v xml:space="preserve"> </v>
      </c>
      <c r="I47" s="566">
        <v>0</v>
      </c>
      <c r="J47" s="615" t="str">
        <f>IF(I47=1,"VERO",IF(I47=2,"FALSO",""))</f>
        <v/>
      </c>
    </row>
    <row r="48" spans="1:10" ht="9.6" customHeight="1">
      <c r="B48" s="656"/>
      <c r="C48" s="1399"/>
      <c r="D48" s="1399"/>
      <c r="E48" s="1399"/>
      <c r="F48" s="656"/>
      <c r="G48" s="656"/>
      <c r="H48" s="836"/>
      <c r="I48" s="566"/>
    </row>
    <row r="49" spans="1:10" ht="33" customHeight="1">
      <c r="B49" s="656">
        <v>22</v>
      </c>
      <c r="C49" s="1399" t="s">
        <v>758</v>
      </c>
      <c r="D49" s="1399"/>
      <c r="E49" s="1399"/>
      <c r="F49" s="664"/>
      <c r="G49" s="664"/>
      <c r="H49" s="835" t="str">
        <f>IF($I$39=1,IF(I49=0,"RISPOSTA OBBLIGATORIA"," "),IF(OR($I$39=2,$F$42&gt;0),"LA RISPOSTA DATA IN QUESTA SEZIONE NON VERRA' CONSIDERATA",IF(I49&gt;0,"RISPONDERE ALLA DOMANDA 16"," ")))</f>
        <v xml:space="preserve"> </v>
      </c>
      <c r="I49" s="566">
        <v>0</v>
      </c>
      <c r="J49" s="615" t="str">
        <f>IF(I49=1,"VERO",IF(I49=2,"FALSO",""))</f>
        <v/>
      </c>
    </row>
    <row r="50" spans="1:10" ht="9.6" customHeight="1">
      <c r="B50" s="656"/>
      <c r="C50" s="1399"/>
      <c r="D50" s="1399"/>
      <c r="E50" s="1399"/>
      <c r="F50" s="656"/>
      <c r="G50" s="656"/>
      <c r="H50" s="836"/>
      <c r="I50" s="566"/>
    </row>
    <row r="51" spans="1:10" ht="33" customHeight="1">
      <c r="B51" s="656">
        <v>23</v>
      </c>
      <c r="C51" s="1399" t="s">
        <v>759</v>
      </c>
      <c r="D51" s="1399"/>
      <c r="E51" s="1399"/>
      <c r="F51" s="664"/>
      <c r="G51" s="664"/>
      <c r="H51" s="835" t="str">
        <f>IF($I$39=1,IF(I51=0,"RISPOSTA OBBLIGATORIA"," "),IF(OR($I$39=2,$F$42&gt;0),"LA RISPOSTA DATA IN QUESTA SEZIONE NON VERRA' CONSIDERATA",IF(I51&gt;0,"RISPONDERE ALLA DOMANDA 16"," ")))</f>
        <v xml:space="preserve"> </v>
      </c>
      <c r="I51" s="566">
        <v>0</v>
      </c>
      <c r="J51" s="615" t="str">
        <f>IF(I51=1,"VERO",IF(I51=2,"FALSO",""))</f>
        <v/>
      </c>
    </row>
    <row r="52" spans="1:10" ht="9.6" customHeight="1">
      <c r="A52" s="707"/>
      <c r="B52" s="846"/>
      <c r="C52" s="1399"/>
      <c r="D52" s="1399"/>
      <c r="E52" s="1399"/>
      <c r="F52" s="712"/>
      <c r="G52" s="708"/>
      <c r="H52" s="847"/>
      <c r="I52" s="566"/>
    </row>
    <row r="53" spans="1:10" ht="33" customHeight="1">
      <c r="B53" s="656">
        <v>24</v>
      </c>
      <c r="C53" s="1399" t="s">
        <v>760</v>
      </c>
      <c r="D53" s="1399"/>
      <c r="E53" s="1399"/>
      <c r="F53" s="664"/>
      <c r="G53" s="664"/>
      <c r="H53" s="835" t="str">
        <f>IF($I$39=1,IF(I53=0,"RISPOSTA OBBLIGATORIA"," "),IF(OR($I$39=2,$F$42&gt;0),"LA RISPOSTA DATA IN QUESTA SEZIONE NON VERRA' CONSIDERATA",IF(I53&gt;0,"RISPONDERE ALLA DOMANDA 16"," ")))</f>
        <v xml:space="preserve"> </v>
      </c>
      <c r="I53" s="566">
        <v>0</v>
      </c>
      <c r="J53" s="615" t="str">
        <f>IF(I53=1,"VERO",IF(I53=2,"FALSO",""))</f>
        <v/>
      </c>
    </row>
    <row r="54" spans="1:10" ht="9.6" customHeight="1">
      <c r="B54" s="656"/>
      <c r="C54" s="1399"/>
      <c r="D54" s="1399"/>
      <c r="E54" s="1399"/>
      <c r="F54" s="656"/>
      <c r="G54" s="656"/>
      <c r="H54" s="836"/>
      <c r="I54" s="566"/>
    </row>
    <row r="55" spans="1:10" ht="33" customHeight="1">
      <c r="B55" s="656">
        <v>25</v>
      </c>
      <c r="C55" s="1399" t="s">
        <v>761</v>
      </c>
      <c r="D55" s="1399"/>
      <c r="E55" s="1399"/>
      <c r="F55" s="664"/>
      <c r="G55" s="664"/>
      <c r="H55" s="835" t="str">
        <f>IF($I$39=1,IF(I55=0,"RISPOSTA OBBLIGATORIA"," "),IF(OR($I$39=2,$F$42&gt;0),"LA RISPOSTA DATA IN QUESTA SEZIONE NON VERRA' CONSIDERATA",IF(I55&gt;0,"RISPONDERE ALLA DOMANDA 16"," ")))</f>
        <v xml:space="preserve"> </v>
      </c>
      <c r="I55" s="566">
        <v>0</v>
      </c>
      <c r="J55" s="615" t="str">
        <f>IF(I55=1,"VERO",IF(I55=2,"FALSO",""))</f>
        <v/>
      </c>
    </row>
    <row r="56" spans="1:10" ht="9.6" customHeight="1">
      <c r="B56" s="656"/>
      <c r="C56" s="1399"/>
      <c r="D56" s="1399"/>
      <c r="E56" s="1399"/>
      <c r="F56" s="656"/>
      <c r="G56" s="656"/>
      <c r="H56" s="836"/>
      <c r="I56" s="566"/>
    </row>
    <row r="57" spans="1:10" ht="36.9" customHeight="1">
      <c r="B57" s="656">
        <v>26</v>
      </c>
      <c r="C57" s="1399" t="s">
        <v>762</v>
      </c>
      <c r="D57" s="1399"/>
      <c r="E57" s="1399"/>
      <c r="F57" s="664"/>
      <c r="G57" s="664"/>
      <c r="H57" s="835" t="str">
        <f>IF($I$39=1,IF(I57=0,"RISPOSTA OBBLIGATORIA"," "),IF(OR($I$39=2,$F$42&gt;0),"LA RISPOSTA DATA IN QUESTA SEZIONE NON VERRA' CONSIDERATA",IF(I57&gt;0,"RISPONDERE ALLA DOMANDA 16"," ")))</f>
        <v xml:space="preserve"> </v>
      </c>
      <c r="I57" s="566">
        <v>0</v>
      </c>
      <c r="J57" s="615" t="str">
        <f>IF(I57=1,"VERO",IF(I57=2,"FALSO",""))</f>
        <v/>
      </c>
    </row>
    <row r="58" spans="1:10" ht="9.6" customHeight="1">
      <c r="B58" s="656"/>
      <c r="C58" s="1399"/>
      <c r="D58" s="1399"/>
      <c r="E58" s="1399"/>
      <c r="F58" s="656"/>
      <c r="G58" s="656"/>
      <c r="H58" s="836"/>
      <c r="I58" s="566"/>
    </row>
    <row r="59" spans="1:10" ht="33" customHeight="1">
      <c r="B59" s="656">
        <v>27</v>
      </c>
      <c r="C59" s="1399" t="s">
        <v>763</v>
      </c>
      <c r="D59" s="1399"/>
      <c r="E59" s="1399"/>
      <c r="F59" s="664"/>
      <c r="G59" s="664"/>
      <c r="H59" s="835" t="str">
        <f>IF($I$39=1,IF(I59=0,"RISPOSTA OBBLIGATORIA"," "),IF(OR($I$39=2,$F$42&gt;0),"LA RISPOSTA DATA IN QUESTA SEZIONE NON VERRA' CONSIDERATA",IF(I59&gt;0,"RISPONDERE ALLA DOMANDA 16"," ")))</f>
        <v xml:space="preserve"> </v>
      </c>
      <c r="I59" s="566">
        <v>0</v>
      </c>
      <c r="J59" s="615" t="str">
        <f>IF(I59=1,"VERO",IF(I59=2,"FALSO",""))</f>
        <v/>
      </c>
    </row>
    <row r="60" spans="1:10" ht="9.6" customHeight="1">
      <c r="B60" s="656"/>
      <c r="C60" s="1399"/>
      <c r="D60" s="1399"/>
      <c r="E60" s="1399"/>
      <c r="F60" s="656"/>
      <c r="G60" s="656"/>
      <c r="H60" s="836"/>
      <c r="I60" s="566"/>
    </row>
    <row r="61" spans="1:10" ht="33" customHeight="1">
      <c r="B61" s="656">
        <v>28</v>
      </c>
      <c r="C61" s="1399" t="s">
        <v>764</v>
      </c>
      <c r="D61" s="1399"/>
      <c r="E61" s="1399"/>
      <c r="F61" s="664"/>
      <c r="G61" s="664"/>
      <c r="H61" s="835" t="str">
        <f>IF($I$39=1,IF(I61=0,"RISPOSTA OBBLIGATORIA"," "),IF(OR($I$39=2,$F$42&gt;0),"LA RISPOSTA DATA IN QUESTA SEZIONE NON VERRA' CONSIDERATA",IF(I61&gt;0,"RISPONDERE ALLA DOMANDA 16"," ")))</f>
        <v xml:space="preserve"> </v>
      </c>
      <c r="I61" s="566">
        <v>0</v>
      </c>
      <c r="J61" s="615" t="str">
        <f>IF(I61=1,"VERO",IF(I61=2,"FALSO",""))</f>
        <v/>
      </c>
    </row>
    <row r="62" spans="1:10" ht="9.6" customHeight="1">
      <c r="B62" s="656"/>
      <c r="C62" s="1399"/>
      <c r="D62" s="1399"/>
      <c r="E62" s="1399"/>
      <c r="F62" s="656"/>
      <c r="G62" s="656"/>
      <c r="H62" s="836"/>
      <c r="I62" s="566"/>
    </row>
    <row r="63" spans="1:10" ht="38.4" customHeight="1">
      <c r="B63" s="656">
        <v>29</v>
      </c>
      <c r="C63" s="1399" t="s">
        <v>790</v>
      </c>
      <c r="D63" s="1399"/>
      <c r="E63" s="1399"/>
      <c r="F63" s="664"/>
      <c r="G63" s="664"/>
      <c r="H63" s="835" t="str">
        <f>IF($I$39=1,IF(I63=0,"RISPOSTA OBBLIGATORIA"," "),IF(OR($I$39=2,$F$42&gt;0),"LA RISPOSTA DATA IN QUESTA SEZIONE NON VERRA' CONSIDERATA",IF(I63&gt;0,"RISPONDERE ALLA DOMANDA 16"," ")))</f>
        <v xml:space="preserve"> </v>
      </c>
      <c r="I63" s="566">
        <v>0</v>
      </c>
      <c r="J63" s="615" t="str">
        <f>IF(I63=1,"VERO",IF(I63=2,"FALSO",""))</f>
        <v/>
      </c>
    </row>
    <row r="64" spans="1:10" ht="9.6" customHeight="1">
      <c r="B64" s="656"/>
      <c r="C64" s="1399"/>
      <c r="D64" s="1399"/>
      <c r="E64" s="1399"/>
      <c r="F64" s="656"/>
      <c r="G64" s="656"/>
      <c r="H64" s="836"/>
      <c r="I64" s="566"/>
    </row>
    <row r="65" spans="1:10" ht="33" customHeight="1">
      <c r="B65" s="656">
        <v>30</v>
      </c>
      <c r="C65" s="1399" t="s">
        <v>462</v>
      </c>
      <c r="D65" s="1399"/>
      <c r="E65" s="1399"/>
      <c r="F65" s="848"/>
      <c r="G65" s="848"/>
      <c r="H65" s="835" t="str">
        <f>IF($I$39=1,IF(I65=0,"RISPOSTA OBBLIGATORIA"," "),IF(OR($I$39=2,$F$42&gt;0),"LA RISPOSTA DATA IN QUESTA SEZIONE NON VERRA' CONSIDERATA",IF(I65&gt;0,"RISPONDERE ALLA DOMANDA 16"," ")))</f>
        <v xml:space="preserve"> </v>
      </c>
      <c r="I65" s="566">
        <v>0</v>
      </c>
      <c r="J65" s="615" t="str">
        <f>IF(I65=1,"VERO",IF(I65=2,"FALSO",""))</f>
        <v/>
      </c>
    </row>
    <row r="66" spans="1:10" ht="9.6" customHeight="1" thickBot="1">
      <c r="A66" s="657"/>
      <c r="B66" s="658"/>
      <c r="C66" s="1400"/>
      <c r="D66" s="1400"/>
      <c r="E66" s="1400"/>
      <c r="F66" s="658"/>
      <c r="G66" s="658"/>
      <c r="H66" s="849"/>
      <c r="I66" s="566"/>
    </row>
    <row r="67" spans="1:10" ht="9.6" customHeight="1">
      <c r="B67" s="656"/>
      <c r="C67" s="1399"/>
      <c r="D67" s="1399"/>
      <c r="E67" s="1399"/>
      <c r="F67" s="656"/>
      <c r="G67" s="656"/>
      <c r="H67" s="836"/>
      <c r="I67" s="566"/>
    </row>
    <row r="68" spans="1:10" ht="15" customHeight="1">
      <c r="A68" s="1395" t="s">
        <v>792</v>
      </c>
      <c r="B68" s="1396"/>
      <c r="C68" s="1396"/>
      <c r="D68" s="842"/>
      <c r="E68" s="842"/>
      <c r="F68" s="656"/>
      <c r="G68" s="656"/>
      <c r="H68" s="836"/>
      <c r="I68" s="566"/>
    </row>
    <row r="69" spans="1:10" ht="9.6" customHeight="1">
      <c r="B69" s="656"/>
      <c r="C69" s="842"/>
      <c r="D69" s="842"/>
      <c r="E69" s="842"/>
      <c r="F69" s="656"/>
      <c r="G69" s="656"/>
      <c r="H69" s="836"/>
      <c r="I69" s="566"/>
    </row>
    <row r="70" spans="1:10" ht="15" customHeight="1">
      <c r="B70" s="656"/>
      <c r="C70" s="656"/>
      <c r="D70" s="656"/>
      <c r="E70" s="656"/>
      <c r="F70" s="570" t="s">
        <v>313</v>
      </c>
      <c r="G70" s="570" t="s">
        <v>314</v>
      </c>
      <c r="H70" s="831"/>
      <c r="I70" s="566"/>
    </row>
    <row r="71" spans="1:10" ht="30" customHeight="1">
      <c r="A71" s="655" t="s">
        <v>793</v>
      </c>
      <c r="B71" s="1366" t="s">
        <v>786</v>
      </c>
      <c r="C71" s="1366"/>
      <c r="D71" s="1366"/>
      <c r="E71" s="1367"/>
      <c r="F71" s="521"/>
      <c r="G71" s="521"/>
      <c r="H71" s="720"/>
      <c r="I71" s="566">
        <v>0</v>
      </c>
      <c r="J71" s="615" t="str">
        <f>IF(I71=1,"VERO",IF(I71=2,"FALSO",""))</f>
        <v/>
      </c>
    </row>
    <row r="72" spans="1:10" ht="15.6" customHeight="1">
      <c r="A72" s="707"/>
      <c r="B72" s="846"/>
      <c r="C72" s="846"/>
      <c r="D72" s="846"/>
      <c r="E72" s="846"/>
      <c r="F72" s="846"/>
      <c r="G72" s="846"/>
      <c r="H72" s="835"/>
      <c r="I72" s="566"/>
    </row>
    <row r="73" spans="1:10" ht="15" customHeight="1">
      <c r="B73" s="656"/>
      <c r="C73" s="656"/>
      <c r="D73" s="656"/>
      <c r="E73" s="656"/>
      <c r="F73" s="570" t="s">
        <v>787</v>
      </c>
      <c r="G73" s="656"/>
      <c r="H73" s="831"/>
      <c r="I73" s="566"/>
    </row>
    <row r="74" spans="1:10" ht="30" customHeight="1">
      <c r="A74" s="655" t="s">
        <v>794</v>
      </c>
      <c r="B74" s="656"/>
      <c r="C74" s="1391" t="s">
        <v>788</v>
      </c>
      <c r="D74" s="1391"/>
      <c r="E74" s="1397"/>
      <c r="F74" s="575"/>
      <c r="G74" s="1356" t="str">
        <f>IF($I$71=2,IF($F$74=0,"RISPOSTA OBBLIGATORIA"," "),IF(AND(I71=1,F74&gt;0),"LA RISPOSTA DATA IN QUESTA SEZIONE NON VERRA' CONSIDERATA",IF(F74&gt;0,"RISPONDERE NO ALLA DOMANDA 31"," ")))</f>
        <v xml:space="preserve"> </v>
      </c>
      <c r="H74" s="1398"/>
      <c r="I74" s="566"/>
    </row>
    <row r="75" spans="1:10" ht="14.4" customHeight="1">
      <c r="A75" s="707"/>
      <c r="B75" s="846"/>
      <c r="C75" s="846"/>
      <c r="D75" s="846"/>
      <c r="E75" s="846"/>
      <c r="F75" s="846"/>
      <c r="G75" s="846"/>
      <c r="H75" s="835"/>
      <c r="I75" s="566"/>
    </row>
    <row r="76" spans="1:10" ht="30" customHeight="1">
      <c r="B76" s="656"/>
      <c r="C76" s="1391" t="s">
        <v>789</v>
      </c>
      <c r="D76" s="1391"/>
      <c r="E76" s="1397"/>
      <c r="F76" s="570" t="s">
        <v>313</v>
      </c>
      <c r="G76" s="570" t="s">
        <v>314</v>
      </c>
      <c r="H76" s="831"/>
      <c r="I76" s="566"/>
    </row>
    <row r="77" spans="1:10" ht="33" customHeight="1">
      <c r="B77" s="656">
        <v>35</v>
      </c>
      <c r="C77" s="1399" t="s">
        <v>756</v>
      </c>
      <c r="D77" s="1399"/>
      <c r="E77" s="1399"/>
      <c r="F77" s="664"/>
      <c r="G77" s="664"/>
      <c r="H77" s="835" t="str">
        <f>IF($I$71=1,IF(I77=0,"RISPOSTA OBBLIGATORIA"," "),IF(OR($I$71=2,$F$74&gt;0),"LA RISPOSTA DATA IN QUESTA SEZIONE NON VERRA' CONSIDERATA",IF(I77&gt;0,"RISPONDERE ALLA DOMANDA 31"," ")))</f>
        <v xml:space="preserve"> </v>
      </c>
      <c r="I77" s="566">
        <v>0</v>
      </c>
      <c r="J77" s="615" t="str">
        <f>IF(I77=1,"VERO",IF(I77=2,"FALSO",""))</f>
        <v/>
      </c>
    </row>
    <row r="78" spans="1:10" ht="9.6" customHeight="1">
      <c r="B78" s="656"/>
      <c r="C78" s="1399"/>
      <c r="D78" s="1399"/>
      <c r="E78" s="1399"/>
      <c r="F78" s="656"/>
      <c r="G78" s="656"/>
      <c r="H78" s="836"/>
      <c r="I78" s="566"/>
    </row>
    <row r="79" spans="1:10" ht="33" customHeight="1">
      <c r="B79" s="656">
        <v>36</v>
      </c>
      <c r="C79" s="1399" t="s">
        <v>757</v>
      </c>
      <c r="D79" s="1399"/>
      <c r="E79" s="1399"/>
      <c r="F79" s="664"/>
      <c r="G79" s="664"/>
      <c r="H79" s="835" t="str">
        <f>IF($I$71=1,IF(I79=0,"RISPOSTA OBBLIGATORIA"," "),IF(OR($I$71=2,$F$74&gt;0),"LA RISPOSTA DATA IN QUESTA SEZIONE NON VERRA' CONSIDERATA",IF(I79&gt;0,"RISPONDERE ALLA DOMANDA 31"," ")))</f>
        <v xml:space="preserve"> </v>
      </c>
      <c r="I79" s="566">
        <v>0</v>
      </c>
      <c r="J79" s="615" t="str">
        <f>IF(I79=1,"VERO",IF(I79=2,"FALSO",""))</f>
        <v/>
      </c>
    </row>
    <row r="80" spans="1:10" ht="9.6" customHeight="1">
      <c r="B80" s="656"/>
      <c r="C80" s="1399"/>
      <c r="D80" s="1399"/>
      <c r="E80" s="1399"/>
      <c r="F80" s="656"/>
      <c r="G80" s="656"/>
      <c r="H80" s="836"/>
      <c r="I80" s="566"/>
    </row>
    <row r="81" spans="1:10" ht="33" customHeight="1">
      <c r="B81" s="656">
        <v>37</v>
      </c>
      <c r="C81" s="1399" t="s">
        <v>758</v>
      </c>
      <c r="D81" s="1399"/>
      <c r="E81" s="1399"/>
      <c r="F81" s="664"/>
      <c r="G81" s="664"/>
      <c r="H81" s="835" t="str">
        <f>IF($I$71=1,IF(I81=0,"RISPOSTA OBBLIGATORIA"," "),IF(OR($I$71=2,$F$74&gt;0),"LA RISPOSTA DATA IN QUESTA SEZIONE NON VERRA' CONSIDERATA",IF(I81&gt;0,"RISPONDERE ALLA DOMANDA 31"," ")))</f>
        <v xml:space="preserve"> </v>
      </c>
      <c r="I81" s="566">
        <v>0</v>
      </c>
      <c r="J81" s="615" t="str">
        <f>IF(I81=1,"VERO",IF(I81=2,"FALSO",""))</f>
        <v/>
      </c>
    </row>
    <row r="82" spans="1:10" ht="9.6" customHeight="1">
      <c r="B82" s="656"/>
      <c r="C82" s="1399"/>
      <c r="D82" s="1399"/>
      <c r="E82" s="1399"/>
      <c r="F82" s="656"/>
      <c r="G82" s="656"/>
      <c r="H82" s="836"/>
      <c r="I82" s="566"/>
    </row>
    <row r="83" spans="1:10" ht="33" customHeight="1">
      <c r="B83" s="656">
        <v>38</v>
      </c>
      <c r="C83" s="1399" t="s">
        <v>759</v>
      </c>
      <c r="D83" s="1399"/>
      <c r="E83" s="1399"/>
      <c r="F83" s="664"/>
      <c r="G83" s="664"/>
      <c r="H83" s="835" t="str">
        <f>IF($I$71=1,IF(I83=0,"RISPOSTA OBBLIGATORIA"," "),IF(OR($I$71=2,$F$74&gt;0),"LA RISPOSTA DATA IN QUESTA SEZIONE NON VERRA' CONSIDERATA",IF(I83&gt;0,"RISPONDERE ALLA DOMANDA 31"," ")))</f>
        <v xml:space="preserve"> </v>
      </c>
      <c r="I83" s="566">
        <v>0</v>
      </c>
      <c r="J83" s="615" t="str">
        <f>IF(I83=1,"VERO",IF(I83=2,"FALSO",""))</f>
        <v/>
      </c>
    </row>
    <row r="84" spans="1:10" ht="9.6" customHeight="1">
      <c r="A84" s="707"/>
      <c r="B84" s="846"/>
      <c r="C84" s="1399"/>
      <c r="D84" s="1399"/>
      <c r="E84" s="1399"/>
      <c r="F84" s="712"/>
      <c r="G84" s="708"/>
      <c r="H84" s="847"/>
      <c r="I84" s="566"/>
    </row>
    <row r="85" spans="1:10" ht="33" customHeight="1">
      <c r="B85" s="656">
        <v>39</v>
      </c>
      <c r="C85" s="1399" t="s">
        <v>760</v>
      </c>
      <c r="D85" s="1399"/>
      <c r="E85" s="1399"/>
      <c r="F85" s="664"/>
      <c r="G85" s="664"/>
      <c r="H85" s="835" t="str">
        <f>IF($I$71=1,IF(I85=0,"RISPOSTA OBBLIGATORIA"," "),IF(OR($I$71=2,$F$74&gt;0),"LA RISPOSTA DATA IN QUESTA SEZIONE NON VERRA' CONSIDERATA",IF(I85&gt;0,"RISPONDERE ALLA DOMANDA 31"," ")))</f>
        <v xml:space="preserve"> </v>
      </c>
      <c r="I85" s="566">
        <v>0</v>
      </c>
      <c r="J85" s="615" t="str">
        <f>IF(I85=1,"VERO",IF(I85=2,"FALSO",""))</f>
        <v/>
      </c>
    </row>
    <row r="86" spans="1:10" ht="9.6" customHeight="1">
      <c r="B86" s="656"/>
      <c r="C86" s="1399"/>
      <c r="D86" s="1399"/>
      <c r="E86" s="1399"/>
      <c r="F86" s="656"/>
      <c r="G86" s="656"/>
      <c r="H86" s="836"/>
      <c r="I86" s="566"/>
    </row>
    <row r="87" spans="1:10" ht="33" customHeight="1">
      <c r="B87" s="656">
        <v>40</v>
      </c>
      <c r="C87" s="1399" t="s">
        <v>761</v>
      </c>
      <c r="D87" s="1399"/>
      <c r="E87" s="1399"/>
      <c r="F87" s="664"/>
      <c r="G87" s="664"/>
      <c r="H87" s="835" t="str">
        <f>IF($I$71=1,IF(I87=0,"RISPOSTA OBBLIGATORIA"," "),IF(OR($I$71=2,$F$74&gt;0),"LA RISPOSTA DATA IN QUESTA SEZIONE NON VERRA' CONSIDERATA",IF(I87&gt;0,"RISPONDERE ALLA DOMANDA 31"," ")))</f>
        <v xml:space="preserve"> </v>
      </c>
      <c r="I87" s="566">
        <v>0</v>
      </c>
      <c r="J87" s="615" t="str">
        <f>IF(I87=1,"VERO",IF(I87=2,"FALSO",""))</f>
        <v/>
      </c>
    </row>
    <row r="88" spans="1:10" ht="9.6" customHeight="1">
      <c r="B88" s="656"/>
      <c r="C88" s="1399"/>
      <c r="D88" s="1399"/>
      <c r="E88" s="1399"/>
      <c r="F88" s="656"/>
      <c r="G88" s="656"/>
      <c r="H88" s="836"/>
      <c r="I88" s="566"/>
    </row>
    <row r="89" spans="1:10" ht="36.9" customHeight="1">
      <c r="B89" s="656">
        <v>41</v>
      </c>
      <c r="C89" s="1399" t="s">
        <v>762</v>
      </c>
      <c r="D89" s="1399"/>
      <c r="E89" s="1399"/>
      <c r="F89" s="664"/>
      <c r="G89" s="664"/>
      <c r="H89" s="835" t="str">
        <f>IF($I$71=1,IF(I89=0,"RISPOSTA OBBLIGATORIA"," "),IF(OR($I$71=2,$F$74&gt;0),"LA RISPOSTA DATA IN QUESTA SEZIONE NON VERRA' CONSIDERATA",IF(I89&gt;0,"RISPONDERE ALLA DOMANDA 31"," ")))</f>
        <v xml:space="preserve"> </v>
      </c>
      <c r="I89" s="566">
        <v>0</v>
      </c>
      <c r="J89" s="615" t="str">
        <f>IF(I89=1,"VERO",IF(I89=2,"FALSO",""))</f>
        <v/>
      </c>
    </row>
    <row r="90" spans="1:10" ht="9.6" customHeight="1">
      <c r="B90" s="656"/>
      <c r="C90" s="1399"/>
      <c r="D90" s="1399"/>
      <c r="E90" s="1399"/>
      <c r="F90" s="656"/>
      <c r="G90" s="656"/>
      <c r="H90" s="836"/>
      <c r="I90" s="566"/>
    </row>
    <row r="91" spans="1:10" ht="33" customHeight="1">
      <c r="B91" s="656">
        <v>42</v>
      </c>
      <c r="C91" s="1399" t="s">
        <v>763</v>
      </c>
      <c r="D91" s="1399"/>
      <c r="E91" s="1399"/>
      <c r="F91" s="664"/>
      <c r="G91" s="664"/>
      <c r="H91" s="835" t="str">
        <f>IF($I$71=1,IF(I91=0,"RISPOSTA OBBLIGATORIA"," "),IF(OR($I$71=2,$F$74&gt;0),"LA RISPOSTA DATA IN QUESTA SEZIONE NON VERRA' CONSIDERATA",IF(I91&gt;0,"RISPONDERE ALLA DOMANDA 31"," ")))</f>
        <v xml:space="preserve"> </v>
      </c>
      <c r="I91" s="566">
        <v>0</v>
      </c>
      <c r="J91" s="615" t="str">
        <f>IF(I91=1,"VERO",IF(I91=2,"FALSO",""))</f>
        <v/>
      </c>
    </row>
    <row r="92" spans="1:10" ht="9.6" customHeight="1">
      <c r="B92" s="656"/>
      <c r="C92" s="1399"/>
      <c r="D92" s="1399"/>
      <c r="E92" s="1399"/>
      <c r="F92" s="656"/>
      <c r="G92" s="656"/>
      <c r="H92" s="836"/>
      <c r="I92" s="566"/>
    </row>
    <row r="93" spans="1:10" ht="33" customHeight="1">
      <c r="B93" s="656">
        <v>43</v>
      </c>
      <c r="C93" s="1399" t="s">
        <v>764</v>
      </c>
      <c r="D93" s="1399"/>
      <c r="E93" s="1399"/>
      <c r="F93" s="664"/>
      <c r="G93" s="664"/>
      <c r="H93" s="835" t="str">
        <f>IF($I$71=1,IF(I93=0,"RISPOSTA OBBLIGATORIA"," "),IF(OR($I$71=2,$F$74&gt;0),"LA RISPOSTA DATA IN QUESTA SEZIONE NON VERRA' CONSIDERATA",IF(I93&gt;0,"RISPONDERE ALLA DOMANDA 31"," ")))</f>
        <v xml:space="preserve"> </v>
      </c>
      <c r="I93" s="566">
        <v>0</v>
      </c>
      <c r="J93" s="615" t="str">
        <f>IF(I93=1,"VERO",IF(I93=2,"FALSO",""))</f>
        <v/>
      </c>
    </row>
    <row r="94" spans="1:10" ht="9.6" customHeight="1">
      <c r="B94" s="656"/>
      <c r="C94" s="1399"/>
      <c r="D94" s="1399"/>
      <c r="E94" s="1399"/>
      <c r="F94" s="656"/>
      <c r="G94" s="656"/>
      <c r="H94" s="836"/>
      <c r="I94" s="566"/>
    </row>
    <row r="95" spans="1:10" ht="38.4" customHeight="1">
      <c r="B95" s="656">
        <v>44</v>
      </c>
      <c r="C95" s="1399" t="s">
        <v>790</v>
      </c>
      <c r="D95" s="1399"/>
      <c r="E95" s="1399"/>
      <c r="F95" s="664"/>
      <c r="G95" s="664"/>
      <c r="H95" s="835" t="str">
        <f>IF($I$71=1,IF(I95=0,"RISPOSTA OBBLIGATORIA"," "),IF(OR($I$71=2,$F$74&gt;0),"LA RISPOSTA DATA IN QUESTA SEZIONE NON VERRA' CONSIDERATA",IF(I95&gt;0,"RISPONDERE ALLA DOMANDA 31"," ")))</f>
        <v xml:space="preserve"> </v>
      </c>
      <c r="I95" s="566">
        <v>0</v>
      </c>
      <c r="J95" s="615" t="str">
        <f>IF(I95=1,"VERO",IF(I95=2,"FALSO",""))</f>
        <v/>
      </c>
    </row>
    <row r="96" spans="1:10" ht="9.6" customHeight="1">
      <c r="B96" s="656"/>
      <c r="C96" s="1399"/>
      <c r="D96" s="1399"/>
      <c r="E96" s="1399"/>
      <c r="F96" s="656"/>
      <c r="G96" s="656"/>
      <c r="H96" s="836"/>
      <c r="I96" s="566"/>
    </row>
    <row r="97" spans="1:10" ht="33" customHeight="1">
      <c r="B97" s="656">
        <v>45</v>
      </c>
      <c r="C97" s="1399" t="s">
        <v>462</v>
      </c>
      <c r="D97" s="1399"/>
      <c r="E97" s="1399"/>
      <c r="F97" s="848"/>
      <c r="G97" s="848"/>
      <c r="H97" s="835" t="str">
        <f>IF($I$71=1,IF(I97=0,"RISPOSTA OBBLIGATORIA"," "),IF(OR($I$71=2,$F$74&gt;0),"LA RISPOSTA DATA IN QUESTA SEZIONE NON VERRA' CONSIDERATA",IF(I97&gt;0,"RISPONDERE ALLA DOMANDA 31"," ")))</f>
        <v xml:space="preserve"> </v>
      </c>
      <c r="I97" s="566">
        <v>0</v>
      </c>
      <c r="J97" s="615" t="str">
        <f>IF(I97=1,"VERO",IF(I97=2,"FALSO",""))</f>
        <v/>
      </c>
    </row>
    <row r="98" spans="1:10" ht="9.6" customHeight="1" thickBot="1">
      <c r="A98" s="657"/>
      <c r="B98" s="658"/>
      <c r="C98" s="1400"/>
      <c r="D98" s="1400"/>
      <c r="E98" s="1400"/>
      <c r="F98" s="658"/>
      <c r="G98" s="658"/>
      <c r="H98" s="849"/>
      <c r="I98" s="566"/>
    </row>
    <row r="99" spans="1:10" ht="9.6" customHeight="1">
      <c r="B99" s="656"/>
      <c r="C99" s="1399"/>
      <c r="D99" s="1399"/>
      <c r="E99" s="1399"/>
      <c r="F99" s="656"/>
      <c r="G99" s="656"/>
      <c r="H99" s="836"/>
      <c r="I99" s="566"/>
    </row>
    <row r="100" spans="1:10" ht="15" customHeight="1">
      <c r="A100" s="1402" t="s">
        <v>795</v>
      </c>
      <c r="B100" s="1403"/>
      <c r="C100" s="1403"/>
      <c r="D100" s="842"/>
      <c r="E100" s="842"/>
      <c r="F100" s="656"/>
      <c r="G100" s="656"/>
      <c r="H100" s="836"/>
      <c r="I100" s="566"/>
    </row>
    <row r="101" spans="1:10" ht="9.6" customHeight="1">
      <c r="B101" s="656"/>
      <c r="C101" s="842"/>
      <c r="D101" s="842"/>
      <c r="E101" s="842"/>
      <c r="F101" s="656"/>
      <c r="G101" s="656"/>
      <c r="H101" s="836"/>
      <c r="I101" s="566"/>
    </row>
    <row r="102" spans="1:10" ht="15" customHeight="1">
      <c r="B102" s="656"/>
      <c r="C102" s="656"/>
      <c r="D102" s="656"/>
      <c r="E102" s="656"/>
      <c r="F102" s="570" t="s">
        <v>313</v>
      </c>
      <c r="G102" s="570" t="s">
        <v>314</v>
      </c>
      <c r="H102" s="831"/>
      <c r="I102" s="566"/>
    </row>
    <row r="103" spans="1:10" ht="30" customHeight="1">
      <c r="A103" s="655" t="s">
        <v>796</v>
      </c>
      <c r="B103" s="1366" t="s">
        <v>786</v>
      </c>
      <c r="C103" s="1366"/>
      <c r="D103" s="1366"/>
      <c r="E103" s="1367"/>
      <c r="F103" s="521"/>
      <c r="G103" s="521"/>
      <c r="H103" s="720"/>
      <c r="I103" s="566">
        <v>0</v>
      </c>
      <c r="J103" s="615" t="str">
        <f>IF(I103=1,"VERO",IF(I103=2,"FALSO",""))</f>
        <v/>
      </c>
    </row>
    <row r="104" spans="1:10" ht="15.6" customHeight="1">
      <c r="A104" s="707"/>
      <c r="B104" s="846"/>
      <c r="C104" s="846"/>
      <c r="D104" s="846"/>
      <c r="E104" s="846"/>
      <c r="F104" s="846"/>
      <c r="G104" s="846"/>
      <c r="H104" s="835"/>
      <c r="I104" s="566"/>
    </row>
    <row r="105" spans="1:10" ht="15" customHeight="1">
      <c r="B105" s="656"/>
      <c r="C105" s="656"/>
      <c r="D105" s="656"/>
      <c r="E105" s="656"/>
      <c r="F105" s="570" t="s">
        <v>787</v>
      </c>
      <c r="G105" s="656"/>
      <c r="H105" s="831"/>
      <c r="I105" s="566"/>
    </row>
    <row r="106" spans="1:10" ht="30" customHeight="1">
      <c r="A106" s="655" t="s">
        <v>797</v>
      </c>
      <c r="B106" s="656"/>
      <c r="C106" s="1391" t="s">
        <v>788</v>
      </c>
      <c r="D106" s="1391"/>
      <c r="E106" s="1397"/>
      <c r="F106" s="575"/>
      <c r="G106" s="1356" t="str">
        <f>IF($I$103=2,IF($F$106=0,"RISPOSTA OBBLIGATORIA"," "),IF(AND(I103=1,F106&gt;0),"LA RISPOSTA DATA IN QUESTA SEZIONE NON VERRA' CONSIDERATA",IF(F106&gt;0,"RISPONDERE NO ALLA DOMANDA 46"," ")))</f>
        <v xml:space="preserve"> </v>
      </c>
      <c r="H106" s="1398"/>
      <c r="I106" s="566"/>
    </row>
    <row r="107" spans="1:10" ht="14.4" customHeight="1">
      <c r="A107" s="707"/>
      <c r="B107" s="846"/>
      <c r="C107" s="846"/>
      <c r="D107" s="846"/>
      <c r="E107" s="846"/>
      <c r="F107" s="846"/>
      <c r="G107" s="846"/>
      <c r="H107" s="835"/>
      <c r="I107" s="566"/>
    </row>
    <row r="108" spans="1:10" ht="30" customHeight="1">
      <c r="B108" s="656"/>
      <c r="C108" s="1391" t="s">
        <v>789</v>
      </c>
      <c r="D108" s="1391"/>
      <c r="E108" s="1397"/>
      <c r="F108" s="570" t="s">
        <v>313</v>
      </c>
      <c r="G108" s="570" t="s">
        <v>314</v>
      </c>
      <c r="H108" s="831"/>
      <c r="I108" s="566"/>
    </row>
    <row r="109" spans="1:10" ht="33" customHeight="1">
      <c r="B109" s="656">
        <v>50</v>
      </c>
      <c r="C109" s="1399" t="s">
        <v>756</v>
      </c>
      <c r="D109" s="1399"/>
      <c r="E109" s="1399"/>
      <c r="F109" s="664"/>
      <c r="G109" s="664"/>
      <c r="H109" s="835" t="str">
        <f>IF($I$103=1,IF(I109=0,"RISPOSTA OBBLIGATORIA"," "),IF(OR($I$103=2,$F$106&gt;0),"LA RISPOSTA DATA IN QUESTA SEZIONE NON VERRA' CONSIDERATA",IF(I109&gt;0,"RISPONDERE ALLA DOMANDA 46"," ")))</f>
        <v xml:space="preserve"> </v>
      </c>
      <c r="I109" s="566">
        <v>0</v>
      </c>
      <c r="J109" s="615" t="str">
        <f>IF(I109=1,"VERO",IF(I109=2,"FALSO",""))</f>
        <v/>
      </c>
    </row>
    <row r="110" spans="1:10" ht="9.6" customHeight="1">
      <c r="B110" s="656"/>
      <c r="C110" s="1399"/>
      <c r="D110" s="1399"/>
      <c r="E110" s="1399"/>
      <c r="F110" s="656"/>
      <c r="G110" s="656"/>
      <c r="H110" s="836"/>
      <c r="I110" s="566"/>
    </row>
    <row r="111" spans="1:10" ht="33" customHeight="1">
      <c r="B111" s="656">
        <v>51</v>
      </c>
      <c r="C111" s="1399" t="s">
        <v>757</v>
      </c>
      <c r="D111" s="1399"/>
      <c r="E111" s="1399"/>
      <c r="F111" s="664"/>
      <c r="G111" s="664"/>
      <c r="H111" s="835" t="str">
        <f>IF($I$103=1,IF(I111=0,"RISPOSTA OBBLIGATORIA"," "),IF(OR($I$103=2,$F$106&gt;0),"LA RISPOSTA DATA IN QUESTA SEZIONE NON VERRA' CONSIDERATA",IF(I111&gt;0,"RISPONDERE ALLA DOMANDA 46"," ")))</f>
        <v xml:space="preserve"> </v>
      </c>
      <c r="I111" s="566">
        <v>0</v>
      </c>
      <c r="J111" s="615" t="str">
        <f>IF(I111=1,"VERO",IF(I111=2,"FALSO",""))</f>
        <v/>
      </c>
    </row>
    <row r="112" spans="1:10" ht="9.6" customHeight="1">
      <c r="B112" s="656"/>
      <c r="C112" s="1399"/>
      <c r="D112" s="1399"/>
      <c r="E112" s="1399"/>
      <c r="F112" s="656"/>
      <c r="G112" s="656"/>
      <c r="H112" s="836"/>
      <c r="I112" s="566"/>
    </row>
    <row r="113" spans="1:10" ht="33" customHeight="1">
      <c r="B113" s="656">
        <v>52</v>
      </c>
      <c r="C113" s="1399" t="s">
        <v>758</v>
      </c>
      <c r="D113" s="1399"/>
      <c r="E113" s="1399"/>
      <c r="F113" s="664"/>
      <c r="G113" s="664"/>
      <c r="H113" s="835" t="str">
        <f>IF($I$103=1,IF(I113=0,"RISPOSTA OBBLIGATORIA"," "),IF(OR($I$103=2,$F$106&gt;0),"LA RISPOSTA DATA IN QUESTA SEZIONE NON VERRA' CONSIDERATA",IF(I113&gt;0,"RISPONDERE ALLA DOMANDA 46"," ")))</f>
        <v xml:space="preserve"> </v>
      </c>
      <c r="I113" s="566">
        <v>0</v>
      </c>
      <c r="J113" s="615" t="str">
        <f>IF(I113=1,"VERO",IF(I113=2,"FALSO",""))</f>
        <v/>
      </c>
    </row>
    <row r="114" spans="1:10" ht="9.6" customHeight="1">
      <c r="B114" s="656"/>
      <c r="C114" s="1399"/>
      <c r="D114" s="1399"/>
      <c r="E114" s="1399"/>
      <c r="F114" s="656"/>
      <c r="G114" s="656"/>
      <c r="H114" s="836"/>
      <c r="I114" s="566"/>
    </row>
    <row r="115" spans="1:10" ht="33" customHeight="1">
      <c r="B115" s="656">
        <v>53</v>
      </c>
      <c r="C115" s="1399" t="s">
        <v>759</v>
      </c>
      <c r="D115" s="1399"/>
      <c r="E115" s="1399"/>
      <c r="F115" s="664"/>
      <c r="G115" s="664"/>
      <c r="H115" s="835" t="str">
        <f>IF($I$103=1,IF(I115=0,"RISPOSTA OBBLIGATORIA"," "),IF(OR($I$103=2,$F$106&gt;0),"LA RISPOSTA DATA IN QUESTA SEZIONE NON VERRA' CONSIDERATA",IF(I115&gt;0,"RISPONDERE ALLA DOMANDA 46"," ")))</f>
        <v xml:space="preserve"> </v>
      </c>
      <c r="I115" s="566">
        <v>0</v>
      </c>
      <c r="J115" s="615" t="str">
        <f>IF(I115=1,"VERO",IF(I115=2,"FALSO",""))</f>
        <v/>
      </c>
    </row>
    <row r="116" spans="1:10" ht="9.6" customHeight="1">
      <c r="A116" s="707"/>
      <c r="B116" s="846"/>
      <c r="C116" s="1399"/>
      <c r="D116" s="1399"/>
      <c r="E116" s="1399"/>
      <c r="F116" s="712"/>
      <c r="G116" s="708"/>
      <c r="H116" s="847"/>
      <c r="I116" s="566"/>
    </row>
    <row r="117" spans="1:10" ht="33" customHeight="1">
      <c r="B117" s="656">
        <v>54</v>
      </c>
      <c r="C117" s="1399" t="s">
        <v>760</v>
      </c>
      <c r="D117" s="1399"/>
      <c r="E117" s="1399"/>
      <c r="F117" s="664"/>
      <c r="G117" s="664"/>
      <c r="H117" s="835" t="str">
        <f>IF($I$103=1,IF(I117=0,"RISPOSTA OBBLIGATORIA"," "),IF(OR($I$103=2,$F$106&gt;0),"LA RISPOSTA DATA IN QUESTA SEZIONE NON VERRA' CONSIDERATA",IF(I117&gt;0,"RISPONDERE ALLA DOMANDA 46"," ")))</f>
        <v xml:space="preserve"> </v>
      </c>
      <c r="I117" s="566">
        <v>0</v>
      </c>
      <c r="J117" s="615" t="str">
        <f>IF(I117=1,"VERO",IF(I117=2,"FALSO",""))</f>
        <v/>
      </c>
    </row>
    <row r="118" spans="1:10" ht="9.6" customHeight="1">
      <c r="B118" s="656"/>
      <c r="C118" s="1399"/>
      <c r="D118" s="1399"/>
      <c r="E118" s="1399"/>
      <c r="F118" s="656"/>
      <c r="G118" s="656"/>
      <c r="H118" s="836"/>
      <c r="I118" s="566"/>
    </row>
    <row r="119" spans="1:10" ht="33" customHeight="1">
      <c r="B119" s="656">
        <v>55</v>
      </c>
      <c r="C119" s="1399" t="s">
        <v>761</v>
      </c>
      <c r="D119" s="1399"/>
      <c r="E119" s="1399"/>
      <c r="F119" s="664"/>
      <c r="G119" s="664"/>
      <c r="H119" s="835" t="str">
        <f>IF($I$103=1,IF(I119=0,"RISPOSTA OBBLIGATORIA"," "),IF(OR($I$103=2,$F$106&gt;0),"LA RISPOSTA DATA IN QUESTA SEZIONE NON VERRA' CONSIDERATA",IF(I119&gt;0,"RISPONDERE ALLA DOMANDA 46"," ")))</f>
        <v xml:space="preserve"> </v>
      </c>
      <c r="I119" s="566">
        <v>0</v>
      </c>
      <c r="J119" s="615" t="str">
        <f>IF(I119=1,"VERO",IF(I119=2,"FALSO",""))</f>
        <v/>
      </c>
    </row>
    <row r="120" spans="1:10" ht="9.6" customHeight="1">
      <c r="B120" s="656"/>
      <c r="C120" s="1399"/>
      <c r="D120" s="1399"/>
      <c r="E120" s="1399"/>
      <c r="F120" s="656"/>
      <c r="G120" s="656"/>
      <c r="H120" s="836"/>
      <c r="I120" s="566"/>
    </row>
    <row r="121" spans="1:10" ht="36.9" customHeight="1">
      <c r="B121" s="656">
        <v>56</v>
      </c>
      <c r="C121" s="1399" t="s">
        <v>762</v>
      </c>
      <c r="D121" s="1399"/>
      <c r="E121" s="1399"/>
      <c r="F121" s="664"/>
      <c r="G121" s="664"/>
      <c r="H121" s="835" t="str">
        <f>IF($I$103=1,IF(I121=0,"RISPOSTA OBBLIGATORIA"," "),IF(OR($I$103=2,$F$106&gt;0),"LA RISPOSTA DATA IN QUESTA SEZIONE NON VERRA' CONSIDERATA",IF(I121&gt;0,"RISPONDERE ALLA DOMANDA 46"," ")))</f>
        <v xml:space="preserve"> </v>
      </c>
      <c r="I121" s="566">
        <v>0</v>
      </c>
      <c r="J121" s="615" t="str">
        <f>IF(I121=1,"VERO",IF(I121=2,"FALSO",""))</f>
        <v/>
      </c>
    </row>
    <row r="122" spans="1:10" ht="9.6" customHeight="1">
      <c r="B122" s="656"/>
      <c r="C122" s="1399"/>
      <c r="D122" s="1399"/>
      <c r="E122" s="1399"/>
      <c r="F122" s="656"/>
      <c r="G122" s="656"/>
      <c r="H122" s="836"/>
      <c r="I122" s="566"/>
    </row>
    <row r="123" spans="1:10" ht="33" customHeight="1">
      <c r="B123" s="656">
        <v>57</v>
      </c>
      <c r="C123" s="1399" t="s">
        <v>763</v>
      </c>
      <c r="D123" s="1399"/>
      <c r="E123" s="1399"/>
      <c r="F123" s="664"/>
      <c r="G123" s="664"/>
      <c r="H123" s="835" t="str">
        <f>IF($I$103=1,IF(I123=0,"RISPOSTA OBBLIGATORIA"," "),IF(OR($I$103=2,$F$106&gt;0),"LA RISPOSTA DATA IN QUESTA SEZIONE NON VERRA' CONSIDERATA",IF(I123&gt;0,"RISPONDERE ALLA DOMANDA 46"," ")))</f>
        <v xml:space="preserve"> </v>
      </c>
      <c r="I123" s="566">
        <v>0</v>
      </c>
      <c r="J123" s="615" t="str">
        <f>IF(I123=1,"VERO",IF(I123=2,"FALSO",""))</f>
        <v/>
      </c>
    </row>
    <row r="124" spans="1:10" ht="9.6" customHeight="1">
      <c r="B124" s="656"/>
      <c r="C124" s="1399"/>
      <c r="D124" s="1399"/>
      <c r="E124" s="1399"/>
      <c r="F124" s="656"/>
      <c r="G124" s="656"/>
      <c r="H124" s="836"/>
      <c r="I124" s="566"/>
    </row>
    <row r="125" spans="1:10" ht="33" customHeight="1">
      <c r="B125" s="656">
        <v>58</v>
      </c>
      <c r="C125" s="1399" t="s">
        <v>764</v>
      </c>
      <c r="D125" s="1399"/>
      <c r="E125" s="1399"/>
      <c r="F125" s="664"/>
      <c r="G125" s="664"/>
      <c r="H125" s="835" t="str">
        <f>IF($I$103=1,IF(I125=0,"RISPOSTA OBBLIGATORIA"," "),IF(OR($I$103=2,$F$106&gt;0),"LA RISPOSTA DATA IN QUESTA SEZIONE NON VERRA' CONSIDERATA",IF(I125&gt;0,"RISPONDERE ALLA DOMANDA 46"," ")))</f>
        <v xml:space="preserve"> </v>
      </c>
      <c r="I125" s="566">
        <v>0</v>
      </c>
      <c r="J125" s="615" t="str">
        <f>IF(I125=1,"VERO",IF(I125=2,"FALSO",""))</f>
        <v/>
      </c>
    </row>
    <row r="126" spans="1:10" ht="9.6" customHeight="1">
      <c r="B126" s="656"/>
      <c r="C126" s="1399"/>
      <c r="D126" s="1399"/>
      <c r="E126" s="1399"/>
      <c r="F126" s="656"/>
      <c r="G126" s="656"/>
      <c r="H126" s="836"/>
      <c r="I126" s="566"/>
    </row>
    <row r="127" spans="1:10" ht="38.4" customHeight="1">
      <c r="B127" s="656">
        <v>59</v>
      </c>
      <c r="C127" s="1399" t="s">
        <v>790</v>
      </c>
      <c r="D127" s="1399"/>
      <c r="E127" s="1399"/>
      <c r="F127" s="664"/>
      <c r="G127" s="664"/>
      <c r="H127" s="835" t="str">
        <f>IF($I$103=1,IF(I127=0,"RISPOSTA OBBLIGATORIA"," "),IF(OR($I$103=2,$F$106&gt;0),"LA RISPOSTA DATA IN QUESTA SEZIONE NON VERRA' CONSIDERATA",IF(I127&gt;0,"RISPONDERE ALLA DOMANDA 46"," ")))</f>
        <v xml:space="preserve"> </v>
      </c>
      <c r="I127" s="566">
        <v>0</v>
      </c>
      <c r="J127" s="615" t="str">
        <f>IF(I127=1,"VERO",IF(I127=2,"FALSO",""))</f>
        <v/>
      </c>
    </row>
    <row r="128" spans="1:10" ht="9.6" customHeight="1">
      <c r="B128" s="656"/>
      <c r="C128" s="1399"/>
      <c r="D128" s="1399"/>
      <c r="E128" s="1399"/>
      <c r="F128" s="656"/>
      <c r="G128" s="656"/>
      <c r="H128" s="836"/>
      <c r="I128" s="566"/>
    </row>
    <row r="129" spans="1:10" ht="33" customHeight="1">
      <c r="B129" s="656">
        <v>60</v>
      </c>
      <c r="C129" s="1399" t="s">
        <v>462</v>
      </c>
      <c r="D129" s="1399"/>
      <c r="E129" s="1399"/>
      <c r="F129" s="848"/>
      <c r="G129" s="848"/>
      <c r="H129" s="835" t="str">
        <f>IF($I$103=1,IF(I129=0,"RISPOSTA OBBLIGATORIA"," "),IF(OR($I$103=2,$F$106&gt;0),"LA RISPOSTA DATA IN QUESTA SEZIONE NON VERRA' CONSIDERATA",IF(I129&gt;0,"RISPONDERE ALLA DOMANDA 46"," ")))</f>
        <v xml:space="preserve"> </v>
      </c>
      <c r="I129" s="566">
        <v>0</v>
      </c>
      <c r="J129" s="615" t="str">
        <f>IF(I129=1,"VERO",IF(I129=2,"FALSO",""))</f>
        <v/>
      </c>
    </row>
    <row r="130" spans="1:10" ht="9.6" customHeight="1" thickBot="1">
      <c r="A130" s="657"/>
      <c r="B130" s="658"/>
      <c r="C130" s="1400"/>
      <c r="D130" s="1400"/>
      <c r="E130" s="1400"/>
      <c r="F130" s="658"/>
      <c r="G130" s="658"/>
      <c r="H130" s="849"/>
      <c r="I130" s="566"/>
    </row>
    <row r="131" spans="1:10" ht="9.6" customHeight="1">
      <c r="B131" s="656"/>
      <c r="C131" s="1399"/>
      <c r="D131" s="1399"/>
      <c r="E131" s="1399"/>
      <c r="F131" s="656"/>
      <c r="G131" s="656"/>
      <c r="H131" s="836"/>
      <c r="I131" s="566"/>
    </row>
    <row r="132" spans="1:10" ht="15" customHeight="1">
      <c r="A132" s="1395" t="s">
        <v>798</v>
      </c>
      <c r="B132" s="1401"/>
      <c r="C132" s="1401"/>
      <c r="D132" s="842"/>
      <c r="E132" s="842"/>
      <c r="F132" s="656"/>
      <c r="G132" s="656"/>
      <c r="H132" s="836"/>
      <c r="I132" s="566"/>
    </row>
    <row r="133" spans="1:10" ht="9.6" customHeight="1">
      <c r="B133" s="656"/>
      <c r="C133" s="842"/>
      <c r="D133" s="842"/>
      <c r="E133" s="842"/>
      <c r="F133" s="656"/>
      <c r="G133" s="656"/>
      <c r="H133" s="836"/>
      <c r="I133" s="566"/>
    </row>
    <row r="134" spans="1:10" ht="15" customHeight="1">
      <c r="B134" s="656"/>
      <c r="C134" s="656"/>
      <c r="D134" s="656"/>
      <c r="E134" s="656"/>
      <c r="F134" s="570" t="s">
        <v>313</v>
      </c>
      <c r="G134" s="570" t="s">
        <v>314</v>
      </c>
      <c r="H134" s="831"/>
      <c r="I134" s="566"/>
    </row>
    <row r="135" spans="1:10" ht="30" customHeight="1">
      <c r="A135" s="655" t="s">
        <v>799</v>
      </c>
      <c r="B135" s="1366" t="s">
        <v>786</v>
      </c>
      <c r="C135" s="1366"/>
      <c r="D135" s="1366"/>
      <c r="E135" s="1367"/>
      <c r="F135" s="521"/>
      <c r="G135" s="521"/>
      <c r="H135" s="720"/>
      <c r="I135" s="566">
        <v>0</v>
      </c>
      <c r="J135" s="615" t="str">
        <f>IF(I135=1,"VERO",IF(I135=2,"FALSO",""))</f>
        <v/>
      </c>
    </row>
    <row r="136" spans="1:10" ht="15.6" customHeight="1">
      <c r="A136" s="707"/>
      <c r="B136" s="846"/>
      <c r="C136" s="846"/>
      <c r="D136" s="846"/>
      <c r="E136" s="846"/>
      <c r="F136" s="846"/>
      <c r="G136" s="846"/>
      <c r="H136" s="835"/>
      <c r="I136" s="566"/>
    </row>
    <row r="137" spans="1:10" ht="15" customHeight="1">
      <c r="B137" s="656"/>
      <c r="C137" s="656"/>
      <c r="D137" s="656"/>
      <c r="E137" s="656"/>
      <c r="F137" s="570" t="s">
        <v>787</v>
      </c>
      <c r="G137" s="656"/>
      <c r="H137" s="831"/>
      <c r="I137" s="566"/>
    </row>
    <row r="138" spans="1:10" ht="30" customHeight="1">
      <c r="A138" s="655" t="s">
        <v>800</v>
      </c>
      <c r="B138" s="656"/>
      <c r="C138" s="1391" t="s">
        <v>788</v>
      </c>
      <c r="D138" s="1391"/>
      <c r="E138" s="1397"/>
      <c r="F138" s="575"/>
      <c r="G138" s="1356" t="str">
        <f>IF($I$135=2,IF($F$138=0,"RISPOSTA OBBLIGATORIA"," "),IF(AND(I7=125,F138&gt;0),"LA RISPOSTA DATA IN QUESTA SEZIONE NON VERRA' CONSIDERATA",IF(F138&gt;0,"RISPONDERE NO ALLA DOMANDA 61"," ")))</f>
        <v xml:space="preserve"> </v>
      </c>
      <c r="H138" s="1398"/>
      <c r="I138" s="566"/>
    </row>
    <row r="139" spans="1:10" ht="14.4" customHeight="1">
      <c r="A139" s="707"/>
      <c r="B139" s="846"/>
      <c r="C139" s="846"/>
      <c r="D139" s="846"/>
      <c r="E139" s="846"/>
      <c r="F139" s="846"/>
      <c r="G139" s="846"/>
      <c r="H139" s="835"/>
      <c r="I139" s="566"/>
    </row>
    <row r="140" spans="1:10" ht="30" customHeight="1">
      <c r="B140" s="656"/>
      <c r="C140" s="1391" t="s">
        <v>789</v>
      </c>
      <c r="D140" s="1391"/>
      <c r="E140" s="1397"/>
      <c r="F140" s="570" t="s">
        <v>313</v>
      </c>
      <c r="G140" s="570" t="s">
        <v>314</v>
      </c>
      <c r="H140" s="831"/>
      <c r="I140" s="566"/>
    </row>
    <row r="141" spans="1:10" ht="33" customHeight="1">
      <c r="B141" s="656">
        <v>65</v>
      </c>
      <c r="C141" s="1399" t="s">
        <v>756</v>
      </c>
      <c r="D141" s="1399"/>
      <c r="E141" s="1399"/>
      <c r="F141" s="664"/>
      <c r="G141" s="664"/>
      <c r="H141" s="835" t="str">
        <f>IF($I$135=1,IF(I141=0,"RISPOSTA OBBLIGATORIA"," "),IF(OR($I$135=2,$F$138&gt;0),"LA RISPOSTA DATA IN QUESTA SEZIONE NON VERRA' CONSIDERATA",IF(I141&gt;0,"RISPONDERE ALLA DOMANDA 61"," ")))</f>
        <v xml:space="preserve"> </v>
      </c>
      <c r="I141" s="566">
        <v>0</v>
      </c>
      <c r="J141" s="615" t="str">
        <f>IF(I141=1,"VERO",IF(I141=2,"FALSO",""))</f>
        <v/>
      </c>
    </row>
    <row r="142" spans="1:10" ht="9.6" customHeight="1">
      <c r="B142" s="656"/>
      <c r="C142" s="1399"/>
      <c r="D142" s="1399"/>
      <c r="E142" s="1399"/>
      <c r="F142" s="656"/>
      <c r="G142" s="656"/>
      <c r="H142" s="836"/>
      <c r="I142" s="566"/>
    </row>
    <row r="143" spans="1:10" ht="33" customHeight="1">
      <c r="B143" s="656">
        <v>66</v>
      </c>
      <c r="C143" s="1399" t="s">
        <v>757</v>
      </c>
      <c r="D143" s="1399"/>
      <c r="E143" s="1399"/>
      <c r="F143" s="664"/>
      <c r="G143" s="664"/>
      <c r="H143" s="835" t="str">
        <f>IF($I$135=1,IF(I143=0,"RISPOSTA OBBLIGATORIA"," "),IF(OR($I$135=2,$F$138&gt;0),"LA RISPOSTA DATA IN QUESTA SEZIONE NON VERRA' CONSIDERATA",IF(I143&gt;0,"RISPONDERE ALLA DOMANDA 61"," ")))</f>
        <v xml:space="preserve"> </v>
      </c>
      <c r="I143" s="566">
        <v>0</v>
      </c>
      <c r="J143" s="615" t="str">
        <f>IF(I143=1,"VERO",IF(I143=2,"FALSO",""))</f>
        <v/>
      </c>
    </row>
    <row r="144" spans="1:10" ht="9.6" customHeight="1">
      <c r="B144" s="656"/>
      <c r="C144" s="1399"/>
      <c r="D144" s="1399"/>
      <c r="E144" s="1399"/>
      <c r="F144" s="656"/>
      <c r="G144" s="656"/>
      <c r="H144" s="836"/>
      <c r="I144" s="566"/>
    </row>
    <row r="145" spans="1:10" ht="33" customHeight="1">
      <c r="B145" s="656">
        <v>67</v>
      </c>
      <c r="C145" s="1399" t="s">
        <v>758</v>
      </c>
      <c r="D145" s="1399"/>
      <c r="E145" s="1399"/>
      <c r="F145" s="664"/>
      <c r="G145" s="664"/>
      <c r="H145" s="835" t="str">
        <f>IF($I$135=1,IF(I145=0,"RISPOSTA OBBLIGATORIA"," "),IF(OR($I$135=2,$F$138&gt;0),"LA RISPOSTA DATA IN QUESTA SEZIONE NON VERRA' CONSIDERATA",IF(I145&gt;0,"RISPONDERE ALLA DOMANDA 61"," ")))</f>
        <v xml:space="preserve"> </v>
      </c>
      <c r="I145" s="566">
        <v>0</v>
      </c>
      <c r="J145" s="615" t="str">
        <f>IF(I145=1,"VERO",IF(I145=2,"FALSO",""))</f>
        <v/>
      </c>
    </row>
    <row r="146" spans="1:10" ht="9.6" customHeight="1">
      <c r="B146" s="656"/>
      <c r="C146" s="1399"/>
      <c r="D146" s="1399"/>
      <c r="E146" s="1399"/>
      <c r="F146" s="656"/>
      <c r="G146" s="656"/>
      <c r="H146" s="836"/>
      <c r="I146" s="566"/>
    </row>
    <row r="147" spans="1:10" ht="33" customHeight="1">
      <c r="B147" s="656">
        <v>68</v>
      </c>
      <c r="C147" s="1399" t="s">
        <v>759</v>
      </c>
      <c r="D147" s="1399"/>
      <c r="E147" s="1399"/>
      <c r="F147" s="664"/>
      <c r="G147" s="664"/>
      <c r="H147" s="835" t="str">
        <f>IF($I$135=1,IF(I147=0,"RISPOSTA OBBLIGATORIA"," "),IF(OR($I$135=2,$F$138&gt;0),"LA RISPOSTA DATA IN QUESTA SEZIONE NON VERRA' CONSIDERATA",IF(I147&gt;0,"RISPONDERE ALLA DOMANDA 61"," ")))</f>
        <v xml:space="preserve"> </v>
      </c>
      <c r="I147" s="566">
        <v>0</v>
      </c>
      <c r="J147" s="615" t="str">
        <f>IF(I147=1,"VERO",IF(I147=2,"FALSO",""))</f>
        <v/>
      </c>
    </row>
    <row r="148" spans="1:10" ht="9.6" customHeight="1">
      <c r="A148" s="707"/>
      <c r="B148" s="846"/>
      <c r="C148" s="1399"/>
      <c r="D148" s="1399"/>
      <c r="E148" s="1399"/>
      <c r="F148" s="712"/>
      <c r="G148" s="708"/>
      <c r="H148" s="847"/>
      <c r="I148" s="566"/>
    </row>
    <row r="149" spans="1:10" ht="33" customHeight="1">
      <c r="B149" s="656">
        <v>69</v>
      </c>
      <c r="C149" s="1399" t="s">
        <v>760</v>
      </c>
      <c r="D149" s="1399"/>
      <c r="E149" s="1399"/>
      <c r="F149" s="664"/>
      <c r="G149" s="664"/>
      <c r="H149" s="835" t="str">
        <f>IF($I$135=1,IF(I149=0,"RISPOSTA OBBLIGATORIA"," "),IF(OR($I$135=2,$F$138&gt;0),"LA RISPOSTA DATA IN QUESTA SEZIONE NON VERRA' CONSIDERATA",IF(I149&gt;0,"RISPONDERE ALLA DOMANDA 61"," ")))</f>
        <v xml:space="preserve"> </v>
      </c>
      <c r="I149" s="566">
        <v>0</v>
      </c>
      <c r="J149" s="615" t="str">
        <f>IF(I149=1,"VERO",IF(I149=2,"FALSO",""))</f>
        <v/>
      </c>
    </row>
    <row r="150" spans="1:10" ht="9.6" customHeight="1">
      <c r="B150" s="656"/>
      <c r="C150" s="1399"/>
      <c r="D150" s="1399"/>
      <c r="E150" s="1399"/>
      <c r="F150" s="656"/>
      <c r="G150" s="656"/>
      <c r="H150" s="836"/>
      <c r="I150" s="566"/>
    </row>
    <row r="151" spans="1:10" ht="33" customHeight="1">
      <c r="B151" s="656">
        <v>70</v>
      </c>
      <c r="C151" s="1399" t="s">
        <v>761</v>
      </c>
      <c r="D151" s="1399"/>
      <c r="E151" s="1399"/>
      <c r="F151" s="664"/>
      <c r="G151" s="664"/>
      <c r="H151" s="835" t="str">
        <f>IF($I$135=1,IF(I151=0,"RISPOSTA OBBLIGATORIA"," "),IF(OR($I$135=2,$F$138&gt;0),"LA RISPOSTA DATA IN QUESTA SEZIONE NON VERRA' CONSIDERATA",IF(I151&gt;0,"RISPONDERE ALLA DOMANDA 61"," ")))</f>
        <v xml:space="preserve"> </v>
      </c>
      <c r="I151" s="566">
        <v>0</v>
      </c>
      <c r="J151" s="615" t="str">
        <f>IF(I151=1,"VERO",IF(I151=2,"FALSO",""))</f>
        <v/>
      </c>
    </row>
    <row r="152" spans="1:10" ht="9.6" customHeight="1">
      <c r="B152" s="656"/>
      <c r="C152" s="1399"/>
      <c r="D152" s="1399"/>
      <c r="E152" s="1399"/>
      <c r="F152" s="656"/>
      <c r="G152" s="656"/>
      <c r="H152" s="836"/>
      <c r="I152" s="566"/>
    </row>
    <row r="153" spans="1:10" ht="36.9" customHeight="1">
      <c r="B153" s="656">
        <v>71</v>
      </c>
      <c r="C153" s="1399" t="s">
        <v>762</v>
      </c>
      <c r="D153" s="1399"/>
      <c r="E153" s="1399"/>
      <c r="F153" s="664"/>
      <c r="G153" s="664"/>
      <c r="H153" s="835" t="str">
        <f>IF($I$135=1,IF(I153=0,"RISPOSTA OBBLIGATORIA"," "),IF(OR($I$135=2,$F$138&gt;0),"LA RISPOSTA DATA IN QUESTA SEZIONE NON VERRA' CONSIDERATA",IF(I153&gt;0,"RISPONDERE ALLA DOMANDA 61"," ")))</f>
        <v xml:space="preserve"> </v>
      </c>
      <c r="I153" s="566">
        <v>0</v>
      </c>
      <c r="J153" s="615" t="str">
        <f>IF(I153=1,"VERO",IF(I153=2,"FALSO",""))</f>
        <v/>
      </c>
    </row>
    <row r="154" spans="1:10" ht="9.6" customHeight="1">
      <c r="B154" s="656"/>
      <c r="C154" s="1399"/>
      <c r="D154" s="1399"/>
      <c r="E154" s="1399"/>
      <c r="F154" s="656"/>
      <c r="G154" s="656"/>
      <c r="H154" s="836"/>
      <c r="I154" s="566"/>
    </row>
    <row r="155" spans="1:10" ht="33" customHeight="1">
      <c r="B155" s="656">
        <v>72</v>
      </c>
      <c r="C155" s="1399" t="s">
        <v>763</v>
      </c>
      <c r="D155" s="1399"/>
      <c r="E155" s="1399"/>
      <c r="F155" s="664"/>
      <c r="G155" s="664"/>
      <c r="H155" s="835" t="str">
        <f>IF($I$135=1,IF(I155=0,"RISPOSTA OBBLIGATORIA"," "),IF(OR($I$135=2,$F$138&gt;0),"LA RISPOSTA DATA IN QUESTA SEZIONE NON VERRA' CONSIDERATA",IF(I155&gt;0,"RISPONDERE ALLA DOMANDA 61"," ")))</f>
        <v xml:space="preserve"> </v>
      </c>
      <c r="I155" s="566">
        <v>0</v>
      </c>
      <c r="J155" s="615" t="str">
        <f>IF(I155=1,"VERO",IF(I155=2,"FALSO",""))</f>
        <v/>
      </c>
    </row>
    <row r="156" spans="1:10" ht="9.6" customHeight="1">
      <c r="B156" s="656"/>
      <c r="C156" s="1399"/>
      <c r="D156" s="1399"/>
      <c r="E156" s="1399"/>
      <c r="F156" s="656"/>
      <c r="G156" s="656"/>
      <c r="H156" s="836"/>
      <c r="I156" s="566"/>
    </row>
    <row r="157" spans="1:10" ht="33" customHeight="1">
      <c r="B157" s="656">
        <v>73</v>
      </c>
      <c r="C157" s="1399" t="s">
        <v>764</v>
      </c>
      <c r="D157" s="1399"/>
      <c r="E157" s="1399"/>
      <c r="F157" s="664"/>
      <c r="G157" s="664"/>
      <c r="H157" s="835" t="str">
        <f>IF($I$135=1,IF(I157=0,"RISPOSTA OBBLIGATORIA"," "),IF(OR($I$135=2,$F$138&gt;0),"LA RISPOSTA DATA IN QUESTA SEZIONE NON VERRA' CONSIDERATA",IF(I157&gt;0,"RISPONDERE ALLA DOMANDA 61"," ")))</f>
        <v xml:space="preserve"> </v>
      </c>
      <c r="I157" s="566">
        <v>0</v>
      </c>
      <c r="J157" s="615" t="str">
        <f>IF(I157=1,"VERO",IF(I157=2,"FALSO",""))</f>
        <v/>
      </c>
    </row>
    <row r="158" spans="1:10" ht="9.6" customHeight="1">
      <c r="B158" s="656"/>
      <c r="C158" s="1399"/>
      <c r="D158" s="1399"/>
      <c r="E158" s="1399"/>
      <c r="F158" s="656"/>
      <c r="G158" s="656"/>
      <c r="H158" s="836"/>
      <c r="I158" s="566"/>
    </row>
    <row r="159" spans="1:10" ht="38.4" customHeight="1">
      <c r="B159" s="656">
        <v>74</v>
      </c>
      <c r="C159" s="1399" t="s">
        <v>790</v>
      </c>
      <c r="D159" s="1399"/>
      <c r="E159" s="1399"/>
      <c r="F159" s="664"/>
      <c r="G159" s="664"/>
      <c r="H159" s="835" t="str">
        <f>IF($I$135=1,IF(I159=0,"RISPOSTA OBBLIGATORIA"," "),IF(OR($I$135=2,$F$138&gt;0),"LA RISPOSTA DATA IN QUESTA SEZIONE NON VERRA' CONSIDERATA",IF(I159&gt;0,"RISPONDERE ALLA DOMANDA 61"," ")))</f>
        <v xml:space="preserve"> </v>
      </c>
      <c r="I159" s="566">
        <v>0</v>
      </c>
      <c r="J159" s="615" t="str">
        <f>IF(I159=1,"VERO",IF(I159=2,"FALSO",""))</f>
        <v/>
      </c>
    </row>
    <row r="160" spans="1:10" ht="9.6" customHeight="1">
      <c r="B160" s="656"/>
      <c r="C160" s="1399"/>
      <c r="D160" s="1399"/>
      <c r="E160" s="1399"/>
      <c r="F160" s="656"/>
      <c r="G160" s="656"/>
      <c r="H160" s="836"/>
      <c r="I160" s="566"/>
    </row>
    <row r="161" spans="1:11" ht="33" customHeight="1">
      <c r="B161" s="656">
        <v>75</v>
      </c>
      <c r="C161" s="1399" t="s">
        <v>462</v>
      </c>
      <c r="D161" s="1399"/>
      <c r="E161" s="1399"/>
      <c r="F161" s="848"/>
      <c r="G161" s="848"/>
      <c r="H161" s="835" t="str">
        <f>IF($I$135=1,IF(I161=0,"RISPOSTA OBBLIGATORIA"," "),IF(OR($I$135=2,$F$138&gt;0),"LA RISPOSTA DATA IN QUESTA SEZIONE NON VERRA' CONSIDERATA",IF(I161&gt;0,"RISPONDERE ALLA DOMANDA 61"," ")))</f>
        <v xml:space="preserve"> </v>
      </c>
      <c r="I161" s="566">
        <v>0</v>
      </c>
      <c r="J161" s="615" t="str">
        <f>IF(I161=1,"VERO",IF(I161=2,"FALSO",""))</f>
        <v/>
      </c>
    </row>
    <row r="162" spans="1:11">
      <c r="A162" s="660"/>
      <c r="B162" s="661"/>
      <c r="C162" s="661"/>
      <c r="D162" s="661"/>
      <c r="E162" s="661"/>
      <c r="F162" s="661"/>
      <c r="G162" s="661"/>
      <c r="H162" s="838"/>
      <c r="I162" s="615">
        <f>SUM(I7:I161,F10,F42,F74,F106,F138)</f>
        <v>0</v>
      </c>
    </row>
    <row r="163" spans="1:11">
      <c r="I163" s="721" t="str">
        <f>IF(OR(COUNTIF(J163:K163,"KO")&gt;0),"KO","OK")</f>
        <v>KO</v>
      </c>
      <c r="J163" s="615" t="str">
        <f>IF((I162&gt;0),"OK","KO")</f>
        <v>KO</v>
      </c>
      <c r="K163" s="615" t="str">
        <f>"OK"</f>
        <v>OK</v>
      </c>
    </row>
  </sheetData>
  <sheetProtection password="EA98" sheet="1" formatColumns="0" selectLockedCells="1"/>
  <mergeCells count="138">
    <mergeCell ref="C156:E156"/>
    <mergeCell ref="C157:E157"/>
    <mergeCell ref="C158:E158"/>
    <mergeCell ref="C159:E159"/>
    <mergeCell ref="C160:E160"/>
    <mergeCell ref="C161:E161"/>
    <mergeCell ref="C150:E150"/>
    <mergeCell ref="C151:E151"/>
    <mergeCell ref="C152:E152"/>
    <mergeCell ref="C153:E153"/>
    <mergeCell ref="C154:E154"/>
    <mergeCell ref="C155:E155"/>
    <mergeCell ref="C144:E144"/>
    <mergeCell ref="C145:E145"/>
    <mergeCell ref="C146:E146"/>
    <mergeCell ref="C147:E147"/>
    <mergeCell ref="C148:E148"/>
    <mergeCell ref="C149:E149"/>
    <mergeCell ref="C138:E138"/>
    <mergeCell ref="G138:H138"/>
    <mergeCell ref="C140:E140"/>
    <mergeCell ref="C141:E141"/>
    <mergeCell ref="C142:E142"/>
    <mergeCell ref="C143:E143"/>
    <mergeCell ref="C128:E128"/>
    <mergeCell ref="C129:E129"/>
    <mergeCell ref="C130:E130"/>
    <mergeCell ref="C131:E131"/>
    <mergeCell ref="A132:C132"/>
    <mergeCell ref="B135:E135"/>
    <mergeCell ref="C122:E122"/>
    <mergeCell ref="C123:E123"/>
    <mergeCell ref="C124:E124"/>
    <mergeCell ref="C125:E125"/>
    <mergeCell ref="C126:E126"/>
    <mergeCell ref="C127:E127"/>
    <mergeCell ref="C116:E116"/>
    <mergeCell ref="C117:E117"/>
    <mergeCell ref="C118:E118"/>
    <mergeCell ref="C119:E119"/>
    <mergeCell ref="C120:E120"/>
    <mergeCell ref="C121:E121"/>
    <mergeCell ref="C110:E110"/>
    <mergeCell ref="C111:E111"/>
    <mergeCell ref="C112:E112"/>
    <mergeCell ref="C113:E113"/>
    <mergeCell ref="C114:E114"/>
    <mergeCell ref="C115:E115"/>
    <mergeCell ref="A100:C100"/>
    <mergeCell ref="B103:E103"/>
    <mergeCell ref="C106:E106"/>
    <mergeCell ref="G106:H106"/>
    <mergeCell ref="C108:E108"/>
    <mergeCell ref="C109:E109"/>
    <mergeCell ref="C94:E94"/>
    <mergeCell ref="C95:E95"/>
    <mergeCell ref="C96:E96"/>
    <mergeCell ref="C97:E97"/>
    <mergeCell ref="C98:E98"/>
    <mergeCell ref="C99:E99"/>
    <mergeCell ref="C88:E88"/>
    <mergeCell ref="C89:E89"/>
    <mergeCell ref="C90:E90"/>
    <mergeCell ref="C91:E91"/>
    <mergeCell ref="C92:E92"/>
    <mergeCell ref="C93:E93"/>
    <mergeCell ref="C82:E82"/>
    <mergeCell ref="C83:E83"/>
    <mergeCell ref="C84:E84"/>
    <mergeCell ref="C85:E85"/>
    <mergeCell ref="C86:E86"/>
    <mergeCell ref="C87:E87"/>
    <mergeCell ref="C76:E76"/>
    <mergeCell ref="C77:E77"/>
    <mergeCell ref="C78:E78"/>
    <mergeCell ref="C79:E79"/>
    <mergeCell ref="C80:E80"/>
    <mergeCell ref="C81:E81"/>
    <mergeCell ref="C66:E66"/>
    <mergeCell ref="C67:E67"/>
    <mergeCell ref="A68:C68"/>
    <mergeCell ref="B71:E71"/>
    <mergeCell ref="C74:E74"/>
    <mergeCell ref="G74:H74"/>
    <mergeCell ref="C60:E60"/>
    <mergeCell ref="C61:E61"/>
    <mergeCell ref="C62:E62"/>
    <mergeCell ref="C63:E63"/>
    <mergeCell ref="C64:E64"/>
    <mergeCell ref="C65:E65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42:E42"/>
    <mergeCell ref="G42:H42"/>
    <mergeCell ref="C44:E44"/>
    <mergeCell ref="C45:E45"/>
    <mergeCell ref="C46:E46"/>
    <mergeCell ref="C47:E47"/>
    <mergeCell ref="C32:E32"/>
    <mergeCell ref="C33:E33"/>
    <mergeCell ref="C34:E34"/>
    <mergeCell ref="C35:E35"/>
    <mergeCell ref="A36:C36"/>
    <mergeCell ref="B39:E39"/>
    <mergeCell ref="C26:E26"/>
    <mergeCell ref="C27:E27"/>
    <mergeCell ref="C28:E28"/>
    <mergeCell ref="C29:E29"/>
    <mergeCell ref="C30:E30"/>
    <mergeCell ref="C31:E31"/>
    <mergeCell ref="C20:E20"/>
    <mergeCell ref="C21:E21"/>
    <mergeCell ref="C22:E22"/>
    <mergeCell ref="C23:E23"/>
    <mergeCell ref="C24:E24"/>
    <mergeCell ref="C25:E25"/>
    <mergeCell ref="C14:E14"/>
    <mergeCell ref="C15:E15"/>
    <mergeCell ref="C16:E16"/>
    <mergeCell ref="C17:E17"/>
    <mergeCell ref="C18:E18"/>
    <mergeCell ref="C19:E19"/>
    <mergeCell ref="A4:C4"/>
    <mergeCell ref="B7:E7"/>
    <mergeCell ref="C10:E10"/>
    <mergeCell ref="G10:H10"/>
    <mergeCell ref="C12:E12"/>
    <mergeCell ref="C13:E13"/>
  </mergeCells>
  <dataValidations count="1">
    <dataValidation type="whole" allowBlank="1" showInputMessage="1" showErrorMessage="1" errorTitle="ATTENZIONE" error="INSERIRE SOLO VALORI NUMERICI INTERI" sqref="F20 F138:F139 F136 F148 F106:F107 F104 F116 F74:F75 F72 F84 F42:F43 F40 F52 F10:F11 F8 F3:F5">
      <formula1>0</formula1>
      <formula2>999999999999</formula2>
    </dataValidation>
  </dataValidations>
  <printOptions horizontalCentered="1"/>
  <pageMargins left="0.23622047244094491" right="0.23622047244094491" top="0.59055118110236227" bottom="0.98425196850393704" header="0.51181102362204722" footer="0.51181102362204722"/>
  <pageSetup paperSize="9" scale="63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8"/>
  <dimension ref="A1:AL205"/>
  <sheetViews>
    <sheetView showGridLines="0" zoomScaleNormal="100" workbookViewId="0">
      <pane xSplit="2" ySplit="5" topLeftCell="AA6" activePane="bottomRight" state="frozen"/>
      <selection activeCell="A2" sqref="A2"/>
      <selection pane="topRight" activeCell="A2" sqref="A2"/>
      <selection pane="bottomLeft" activeCell="A2" sqref="A2"/>
      <selection pane="bottomRight" activeCell="AA6" sqref="AA6"/>
    </sheetView>
  </sheetViews>
  <sheetFormatPr defaultColWidth="9.28515625" defaultRowHeight="10.199999999999999"/>
  <cols>
    <col min="1" max="1" width="40.85546875" style="5" customWidth="1"/>
    <col min="2" max="2" width="9.7109375" style="7" customWidth="1"/>
    <col min="3" max="13" width="12.85546875" style="5" hidden="1" customWidth="1"/>
    <col min="14" max="26" width="9.28515625" style="5" hidden="1" customWidth="1"/>
    <col min="27" max="37" width="12.85546875" style="5" customWidth="1"/>
    <col min="38" max="38" width="9.28515625" style="5" customWidth="1"/>
    <col min="39" max="16384" width="9.28515625" style="5"/>
  </cols>
  <sheetData>
    <row r="1" spans="1:38" ht="24.75" customHeight="1" thickBot="1">
      <c r="A1" s="942" t="str">
        <f>"COMPARTO REGIONI ED AUTONOMIE LOCALI"&amp;" - anno "&amp;$M$1</f>
        <v>COMPARTO REGIONI ED AUTONOMIE LOCALI - anno 2017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362"/>
      <c r="M1" s="753">
        <v>2017</v>
      </c>
      <c r="AJ1" s="362"/>
      <c r="AK1" s="753">
        <v>2016</v>
      </c>
    </row>
    <row r="2" spans="1:38" ht="30" customHeight="1" thickBot="1">
      <c r="A2" s="398"/>
      <c r="B2" s="399"/>
      <c r="C2" s="364"/>
      <c r="D2" s="364"/>
      <c r="E2" s="364"/>
      <c r="F2" s="364"/>
      <c r="G2" s="364"/>
      <c r="H2" s="1404" t="str">
        <f>IF(AND(L50+M50&gt;0,SUM(E9:E49)=0),"ATTENZIONE!  INSERIRE LA DOTAZIONE ORGANICA",IF(AND(L50+M50&gt;0,SUM(E6:E8)&gt;0),"CANCELLARE I DATI RELATIVI ALLA DOTAZIONE ORGANICA DEI SEGRETARI COMUNALI (ad eccezione dell'Istituzione '9909')",IF(AND((L50+M50)&gt;SUM(E9:E49)),"ATTENZIONE!  IL TOTALE DELLA DOTAZIONE ORGANICA E' MINORE DEI PRESENTI AL 31/12","")))</f>
        <v>ATTENZIONE!  INSERIRE LA DOTAZIONE ORGANICA</v>
      </c>
      <c r="I2" s="1405"/>
      <c r="J2" s="1405"/>
      <c r="K2" s="1405"/>
      <c r="L2" s="1405"/>
      <c r="M2" s="1406"/>
      <c r="AA2" s="364"/>
      <c r="AB2" s="364"/>
      <c r="AC2" s="364"/>
      <c r="AD2" s="364"/>
      <c r="AE2" s="364"/>
      <c r="AF2" s="1404" t="str">
        <f>IF(AND(AJ50+AK50&gt;0,SUM(AC9:AC49)=0),"ATTENZIONE!  INSERIRE LA DOTAZIONE ORGANICA",IF(AND(AJ50+AK50&gt;0,SUM(AC6:AC8)&gt;0),"CANCELLARE I DATI RELATIVI ALLA DOTAZIONE ORGANICA DEI SEGRETARI COMUNALI (ad eccezione dell'Istituzione '9909')",IF(AND((AJ50+AK50)&gt;SUM(AC9:AC49)),"ATTENZIONE!  IL TOTALE DELLA DOTAZIONE ORGANICA E' MINORE DEI PRESENTI AL 31/12","")))</f>
        <v>ATTENZIONE!  INSERIRE LA DOTAZIONE ORGANICA</v>
      </c>
      <c r="AG2" s="1405"/>
      <c r="AH2" s="1405"/>
      <c r="AI2" s="1405"/>
      <c r="AJ2" s="1405"/>
      <c r="AK2" s="1406"/>
    </row>
    <row r="3" spans="1:38" ht="15" customHeight="1" thickBot="1">
      <c r="A3" s="367"/>
      <c r="B3" s="368"/>
      <c r="C3" s="1407" t="s">
        <v>102</v>
      </c>
      <c r="D3" s="1407"/>
      <c r="E3" s="1407"/>
      <c r="F3" s="1407"/>
      <c r="G3" s="1407"/>
      <c r="H3" s="1408"/>
      <c r="I3" s="1408"/>
      <c r="J3" s="1408"/>
      <c r="K3" s="1408"/>
      <c r="L3" s="1408"/>
      <c r="M3" s="1409"/>
      <c r="AA3" s="1407" t="s">
        <v>102</v>
      </c>
      <c r="AB3" s="1407"/>
      <c r="AC3" s="1407"/>
      <c r="AD3" s="1407"/>
      <c r="AE3" s="1407"/>
      <c r="AF3" s="1408"/>
      <c r="AG3" s="1408"/>
      <c r="AH3" s="1408"/>
      <c r="AI3" s="1408"/>
      <c r="AJ3" s="1408"/>
      <c r="AK3" s="1409"/>
    </row>
    <row r="4" spans="1:38" ht="21" thickTop="1">
      <c r="A4" s="1413" t="s">
        <v>173</v>
      </c>
      <c r="B4" s="1415" t="s">
        <v>103</v>
      </c>
      <c r="C4" s="23" t="str">
        <f>"Totale dipendenti al 31/12/"&amp;M1-1&amp;" (*)"</f>
        <v>Totale dipendenti al 31/12/2016 (*)</v>
      </c>
      <c r="D4" s="22"/>
      <c r="E4" s="20" t="s">
        <v>104</v>
      </c>
      <c r="F4" s="21" t="s">
        <v>108</v>
      </c>
      <c r="G4" s="22"/>
      <c r="H4" s="23" t="s">
        <v>164</v>
      </c>
      <c r="I4" s="22"/>
      <c r="J4" s="23" t="s">
        <v>165</v>
      </c>
      <c r="K4" s="22"/>
      <c r="L4" s="23" t="str">
        <f>"Totale dipendenti al 31/12/"&amp;M1&amp;" (**)"</f>
        <v>Totale dipendenti al 31/12/2017 (**)</v>
      </c>
      <c r="M4" s="297"/>
      <c r="AA4" s="23" t="str">
        <f>"Totale dipendenti al 31/12/"&amp;M1-1&amp;" (*)"</f>
        <v>Totale dipendenti al 31/12/2016 (*)</v>
      </c>
      <c r="AB4" s="22"/>
      <c r="AC4" s="20" t="s">
        <v>104</v>
      </c>
      <c r="AD4" s="21" t="s">
        <v>108</v>
      </c>
      <c r="AE4" s="22"/>
      <c r="AF4" s="23" t="s">
        <v>164</v>
      </c>
      <c r="AG4" s="22"/>
      <c r="AH4" s="23" t="s">
        <v>165</v>
      </c>
      <c r="AI4" s="22"/>
      <c r="AJ4" s="23" t="str">
        <f>"Totale dipendenti al 31/12/"&amp;M1&amp;" (**)"</f>
        <v>Totale dipendenti al 31/12/2017 (**)</v>
      </c>
      <c r="AK4" s="297"/>
    </row>
    <row r="5" spans="1:38" ht="10.8" thickBot="1">
      <c r="A5" s="1414"/>
      <c r="B5" s="1416"/>
      <c r="C5" s="240" t="s">
        <v>105</v>
      </c>
      <c r="D5" s="241" t="s">
        <v>106</v>
      </c>
      <c r="E5" s="242"/>
      <c r="F5" s="240" t="s">
        <v>105</v>
      </c>
      <c r="G5" s="241" t="s">
        <v>106</v>
      </c>
      <c r="H5" s="240" t="s">
        <v>105</v>
      </c>
      <c r="I5" s="241" t="s">
        <v>106</v>
      </c>
      <c r="J5" s="240" t="s">
        <v>105</v>
      </c>
      <c r="K5" s="241" t="s">
        <v>106</v>
      </c>
      <c r="L5" s="240" t="s">
        <v>105</v>
      </c>
      <c r="M5" s="298" t="s">
        <v>106</v>
      </c>
      <c r="AA5" s="240" t="s">
        <v>105</v>
      </c>
      <c r="AB5" s="241" t="s">
        <v>106</v>
      </c>
      <c r="AC5" s="242"/>
      <c r="AD5" s="240" t="s">
        <v>105</v>
      </c>
      <c r="AE5" s="241" t="s">
        <v>106</v>
      </c>
      <c r="AF5" s="240" t="s">
        <v>105</v>
      </c>
      <c r="AG5" s="241" t="s">
        <v>106</v>
      </c>
      <c r="AH5" s="240" t="s">
        <v>105</v>
      </c>
      <c r="AI5" s="241" t="s">
        <v>106</v>
      </c>
      <c r="AJ5" s="240" t="s">
        <v>105</v>
      </c>
      <c r="AK5" s="298" t="s">
        <v>106</v>
      </c>
    </row>
    <row r="6" spans="1:38" ht="12.75" customHeight="1" thickTop="1">
      <c r="A6" s="152" t="s">
        <v>481</v>
      </c>
      <c r="B6" s="355" t="s">
        <v>394</v>
      </c>
      <c r="C6" s="938">
        <f>ROUND(AA6,0)</f>
        <v>0</v>
      </c>
      <c r="D6" s="939">
        <f t="shared" ref="D6:D49" si="0">ROUND(AB6,0)</f>
        <v>0</v>
      </c>
      <c r="E6" s="940">
        <f t="shared" ref="E6:E49" si="1">ROUND(AC6,0)</f>
        <v>0</v>
      </c>
      <c r="F6" s="940">
        <f t="shared" ref="F6:F49" si="2">ROUND(AD6,0)</f>
        <v>0</v>
      </c>
      <c r="G6" s="941">
        <f t="shared" ref="G6:G49" si="3">ROUND(AE6,0)</f>
        <v>0</v>
      </c>
      <c r="H6" s="940">
        <f t="shared" ref="H6:H49" si="4">ROUND(AF6,0)</f>
        <v>0</v>
      </c>
      <c r="I6" s="941">
        <f t="shared" ref="I6:I49" si="5">ROUND(AG6,0)</f>
        <v>0</v>
      </c>
      <c r="J6" s="940">
        <f t="shared" ref="J6:J49" si="6">ROUND(AH6,0)</f>
        <v>0</v>
      </c>
      <c r="K6" s="941">
        <f t="shared" ref="K6:K49" si="7">ROUND(AI6,0)</f>
        <v>0</v>
      </c>
      <c r="L6" s="424">
        <f>F6+H6+J6</f>
        <v>0</v>
      </c>
      <c r="M6" s="425">
        <f>G6+I6+K6</f>
        <v>0</v>
      </c>
      <c r="N6" s="867">
        <f t="shared" ref="N6:N49" si="8">IF((L6+M6)&gt;0,1,0)</f>
        <v>0</v>
      </c>
      <c r="AA6" s="326"/>
      <c r="AB6" s="327"/>
      <c r="AC6" s="991"/>
      <c r="AD6" s="325"/>
      <c r="AE6" s="249"/>
      <c r="AF6" s="325"/>
      <c r="AG6" s="249"/>
      <c r="AH6" s="325"/>
      <c r="AI6" s="249"/>
      <c r="AJ6" s="424">
        <f t="shared" ref="AJ6:AJ14" si="9">AD6+AF6+AH6</f>
        <v>0</v>
      </c>
      <c r="AK6" s="425">
        <f t="shared" ref="AK6:AK14" si="10">AE6+AG6+AI6</f>
        <v>0</v>
      </c>
      <c r="AL6" s="867">
        <f t="shared" ref="AL6:AL49" si="11">IF((AJ6+AK6)&gt;0,1,0)</f>
        <v>0</v>
      </c>
    </row>
    <row r="7" spans="1:38" ht="12.75" customHeight="1">
      <c r="A7" s="152" t="s">
        <v>482</v>
      </c>
      <c r="B7" s="355" t="s">
        <v>395</v>
      </c>
      <c r="C7" s="938">
        <f t="shared" ref="C7:C49" si="12">ROUND(AA7,0)</f>
        <v>0</v>
      </c>
      <c r="D7" s="939">
        <f t="shared" si="0"/>
        <v>0</v>
      </c>
      <c r="E7" s="940">
        <f t="shared" si="1"/>
        <v>0</v>
      </c>
      <c r="F7" s="940">
        <f t="shared" si="2"/>
        <v>0</v>
      </c>
      <c r="G7" s="941">
        <f t="shared" si="3"/>
        <v>0</v>
      </c>
      <c r="H7" s="940">
        <f t="shared" si="4"/>
        <v>0</v>
      </c>
      <c r="I7" s="941">
        <f t="shared" si="5"/>
        <v>0</v>
      </c>
      <c r="J7" s="940">
        <f t="shared" si="6"/>
        <v>0</v>
      </c>
      <c r="K7" s="941">
        <f t="shared" si="7"/>
        <v>0</v>
      </c>
      <c r="L7" s="424">
        <f t="shared" ref="L7:L40" si="13">F7+H7+J7</f>
        <v>0</v>
      </c>
      <c r="M7" s="425">
        <f t="shared" ref="M7:M40" si="14">G7+I7+K7</f>
        <v>0</v>
      </c>
      <c r="N7" s="867">
        <f t="shared" si="8"/>
        <v>0</v>
      </c>
      <c r="AA7" s="326"/>
      <c r="AB7" s="327"/>
      <c r="AC7" s="991"/>
      <c r="AD7" s="325"/>
      <c r="AE7" s="249"/>
      <c r="AF7" s="325"/>
      <c r="AG7" s="249"/>
      <c r="AH7" s="325"/>
      <c r="AI7" s="249"/>
      <c r="AJ7" s="424">
        <f t="shared" si="9"/>
        <v>0</v>
      </c>
      <c r="AK7" s="425">
        <f t="shared" si="10"/>
        <v>0</v>
      </c>
      <c r="AL7" s="867">
        <f t="shared" si="11"/>
        <v>0</v>
      </c>
    </row>
    <row r="8" spans="1:38" ht="12.75" customHeight="1">
      <c r="A8" s="152" t="s">
        <v>483</v>
      </c>
      <c r="B8" s="355" t="s">
        <v>396</v>
      </c>
      <c r="C8" s="938">
        <f t="shared" si="12"/>
        <v>0</v>
      </c>
      <c r="D8" s="939">
        <f t="shared" si="0"/>
        <v>0</v>
      </c>
      <c r="E8" s="940">
        <f t="shared" si="1"/>
        <v>0</v>
      </c>
      <c r="F8" s="940">
        <f t="shared" si="2"/>
        <v>0</v>
      </c>
      <c r="G8" s="941">
        <f t="shared" si="3"/>
        <v>0</v>
      </c>
      <c r="H8" s="940">
        <f t="shared" si="4"/>
        <v>0</v>
      </c>
      <c r="I8" s="941">
        <f t="shared" si="5"/>
        <v>0</v>
      </c>
      <c r="J8" s="940">
        <f t="shared" si="6"/>
        <v>0</v>
      </c>
      <c r="K8" s="941">
        <f t="shared" si="7"/>
        <v>0</v>
      </c>
      <c r="L8" s="424">
        <f t="shared" si="13"/>
        <v>0</v>
      </c>
      <c r="M8" s="425">
        <f t="shared" si="14"/>
        <v>0</v>
      </c>
      <c r="N8" s="867">
        <f t="shared" si="8"/>
        <v>0</v>
      </c>
      <c r="AA8" s="326"/>
      <c r="AB8" s="327"/>
      <c r="AC8" s="991"/>
      <c r="AD8" s="325"/>
      <c r="AE8" s="249"/>
      <c r="AF8" s="325"/>
      <c r="AG8" s="249"/>
      <c r="AH8" s="325"/>
      <c r="AI8" s="249"/>
      <c r="AJ8" s="424">
        <f t="shared" si="9"/>
        <v>0</v>
      </c>
      <c r="AK8" s="425">
        <f t="shared" si="10"/>
        <v>0</v>
      </c>
      <c r="AL8" s="867">
        <f t="shared" si="11"/>
        <v>0</v>
      </c>
    </row>
    <row r="9" spans="1:38" ht="12.75" customHeight="1">
      <c r="A9" s="152" t="s">
        <v>516</v>
      </c>
      <c r="B9" s="355" t="s">
        <v>397</v>
      </c>
      <c r="C9" s="938">
        <f t="shared" si="12"/>
        <v>0</v>
      </c>
      <c r="D9" s="939">
        <f t="shared" si="0"/>
        <v>0</v>
      </c>
      <c r="E9" s="940">
        <f t="shared" si="1"/>
        <v>0</v>
      </c>
      <c r="F9" s="940">
        <f t="shared" si="2"/>
        <v>0</v>
      </c>
      <c r="G9" s="941">
        <f t="shared" si="3"/>
        <v>0</v>
      </c>
      <c r="H9" s="940">
        <f t="shared" si="4"/>
        <v>0</v>
      </c>
      <c r="I9" s="941">
        <f t="shared" si="5"/>
        <v>0</v>
      </c>
      <c r="J9" s="940">
        <f t="shared" si="6"/>
        <v>0</v>
      </c>
      <c r="K9" s="941">
        <f t="shared" si="7"/>
        <v>0</v>
      </c>
      <c r="L9" s="424">
        <f t="shared" si="13"/>
        <v>0</v>
      </c>
      <c r="M9" s="425">
        <f t="shared" si="14"/>
        <v>0</v>
      </c>
      <c r="N9" s="867">
        <f t="shared" si="8"/>
        <v>0</v>
      </c>
      <c r="AA9" s="326"/>
      <c r="AB9" s="327"/>
      <c r="AC9" s="325"/>
      <c r="AD9" s="325"/>
      <c r="AE9" s="249"/>
      <c r="AF9" s="325"/>
      <c r="AG9" s="249"/>
      <c r="AH9" s="325"/>
      <c r="AI9" s="249"/>
      <c r="AJ9" s="424">
        <f t="shared" si="9"/>
        <v>0</v>
      </c>
      <c r="AK9" s="425">
        <f t="shared" si="10"/>
        <v>0</v>
      </c>
      <c r="AL9" s="867">
        <f t="shared" si="11"/>
        <v>0</v>
      </c>
    </row>
    <row r="10" spans="1:38" ht="12.75" customHeight="1">
      <c r="A10" s="152" t="s">
        <v>484</v>
      </c>
      <c r="B10" s="355" t="s">
        <v>398</v>
      </c>
      <c r="C10" s="938">
        <f t="shared" si="12"/>
        <v>0</v>
      </c>
      <c r="D10" s="939">
        <f t="shared" si="0"/>
        <v>0</v>
      </c>
      <c r="E10" s="940">
        <f t="shared" si="1"/>
        <v>0</v>
      </c>
      <c r="F10" s="940">
        <f t="shared" si="2"/>
        <v>0</v>
      </c>
      <c r="G10" s="941">
        <f t="shared" si="3"/>
        <v>0</v>
      </c>
      <c r="H10" s="940">
        <f t="shared" si="4"/>
        <v>0</v>
      </c>
      <c r="I10" s="941">
        <f t="shared" si="5"/>
        <v>0</v>
      </c>
      <c r="J10" s="940">
        <f t="shared" si="6"/>
        <v>0</v>
      </c>
      <c r="K10" s="941">
        <f t="shared" si="7"/>
        <v>0</v>
      </c>
      <c r="L10" s="424">
        <f t="shared" si="13"/>
        <v>0</v>
      </c>
      <c r="M10" s="425">
        <f t="shared" si="14"/>
        <v>0</v>
      </c>
      <c r="N10" s="867">
        <f t="shared" si="8"/>
        <v>0</v>
      </c>
      <c r="AA10" s="326"/>
      <c r="AB10" s="327"/>
      <c r="AC10" s="325"/>
      <c r="AD10" s="325"/>
      <c r="AE10" s="249"/>
      <c r="AF10" s="325"/>
      <c r="AG10" s="249"/>
      <c r="AH10" s="325"/>
      <c r="AI10" s="249"/>
      <c r="AJ10" s="424">
        <f t="shared" si="9"/>
        <v>0</v>
      </c>
      <c r="AK10" s="425">
        <f t="shared" si="10"/>
        <v>0</v>
      </c>
      <c r="AL10" s="867">
        <f t="shared" si="11"/>
        <v>0</v>
      </c>
    </row>
    <row r="11" spans="1:38" ht="12.75" customHeight="1">
      <c r="A11" s="152" t="s">
        <v>659</v>
      </c>
      <c r="B11" s="355" t="s">
        <v>399</v>
      </c>
      <c r="C11" s="938">
        <f t="shared" si="12"/>
        <v>0</v>
      </c>
      <c r="D11" s="939">
        <f t="shared" si="0"/>
        <v>0</v>
      </c>
      <c r="E11" s="940">
        <f t="shared" si="1"/>
        <v>0</v>
      </c>
      <c r="F11" s="940">
        <f t="shared" si="2"/>
        <v>0</v>
      </c>
      <c r="G11" s="941">
        <f t="shared" si="3"/>
        <v>0</v>
      </c>
      <c r="H11" s="940">
        <f t="shared" si="4"/>
        <v>0</v>
      </c>
      <c r="I11" s="941">
        <f t="shared" si="5"/>
        <v>0</v>
      </c>
      <c r="J11" s="940">
        <f t="shared" si="6"/>
        <v>0</v>
      </c>
      <c r="K11" s="941">
        <f t="shared" si="7"/>
        <v>0</v>
      </c>
      <c r="L11" s="424">
        <f t="shared" si="13"/>
        <v>0</v>
      </c>
      <c r="M11" s="425">
        <f t="shared" si="14"/>
        <v>0</v>
      </c>
      <c r="N11" s="867">
        <f t="shared" si="8"/>
        <v>0</v>
      </c>
      <c r="AA11" s="326"/>
      <c r="AB11" s="327"/>
      <c r="AC11" s="325"/>
      <c r="AD11" s="325"/>
      <c r="AE11" s="249"/>
      <c r="AF11" s="325"/>
      <c r="AG11" s="249"/>
      <c r="AH11" s="325"/>
      <c r="AI11" s="249"/>
      <c r="AJ11" s="424">
        <f t="shared" si="9"/>
        <v>0</v>
      </c>
      <c r="AK11" s="425">
        <f t="shared" si="10"/>
        <v>0</v>
      </c>
      <c r="AL11" s="867">
        <f t="shared" si="11"/>
        <v>0</v>
      </c>
    </row>
    <row r="12" spans="1:38" ht="12.75" customHeight="1">
      <c r="A12" s="152" t="s">
        <v>660</v>
      </c>
      <c r="B12" s="355" t="s">
        <v>400</v>
      </c>
      <c r="C12" s="938">
        <f t="shared" si="12"/>
        <v>0</v>
      </c>
      <c r="D12" s="939">
        <f t="shared" si="0"/>
        <v>0</v>
      </c>
      <c r="E12" s="940">
        <f t="shared" si="1"/>
        <v>0</v>
      </c>
      <c r="F12" s="940">
        <f t="shared" si="2"/>
        <v>0</v>
      </c>
      <c r="G12" s="941">
        <f t="shared" si="3"/>
        <v>0</v>
      </c>
      <c r="H12" s="940">
        <f t="shared" si="4"/>
        <v>0</v>
      </c>
      <c r="I12" s="941">
        <f t="shared" si="5"/>
        <v>0</v>
      </c>
      <c r="J12" s="940">
        <f t="shared" si="6"/>
        <v>0</v>
      </c>
      <c r="K12" s="941">
        <f t="shared" si="7"/>
        <v>0</v>
      </c>
      <c r="L12" s="424">
        <f>F12+H12+J12</f>
        <v>0</v>
      </c>
      <c r="M12" s="425">
        <f>G12+I12+K12</f>
        <v>0</v>
      </c>
      <c r="N12" s="867">
        <f t="shared" si="8"/>
        <v>0</v>
      </c>
      <c r="AA12" s="326"/>
      <c r="AB12" s="327"/>
      <c r="AC12" s="325"/>
      <c r="AD12" s="325"/>
      <c r="AE12" s="249"/>
      <c r="AF12" s="325"/>
      <c r="AG12" s="249"/>
      <c r="AH12" s="325"/>
      <c r="AI12" s="249"/>
      <c r="AJ12" s="424">
        <f t="shared" si="9"/>
        <v>0</v>
      </c>
      <c r="AK12" s="425">
        <f t="shared" si="10"/>
        <v>0</v>
      </c>
      <c r="AL12" s="867">
        <f t="shared" si="11"/>
        <v>0</v>
      </c>
    </row>
    <row r="13" spans="1:38" ht="12.75" customHeight="1">
      <c r="A13" s="152" t="s">
        <v>661</v>
      </c>
      <c r="B13" s="355" t="s">
        <v>662</v>
      </c>
      <c r="C13" s="938">
        <f t="shared" si="12"/>
        <v>0</v>
      </c>
      <c r="D13" s="939">
        <f t="shared" si="0"/>
        <v>0</v>
      </c>
      <c r="E13" s="940">
        <f t="shared" si="1"/>
        <v>0</v>
      </c>
      <c r="F13" s="940">
        <f t="shared" si="2"/>
        <v>0</v>
      </c>
      <c r="G13" s="941">
        <f t="shared" si="3"/>
        <v>0</v>
      </c>
      <c r="H13" s="940">
        <f t="shared" si="4"/>
        <v>0</v>
      </c>
      <c r="I13" s="941">
        <f t="shared" si="5"/>
        <v>0</v>
      </c>
      <c r="J13" s="940">
        <f t="shared" si="6"/>
        <v>0</v>
      </c>
      <c r="K13" s="941">
        <f t="shared" si="7"/>
        <v>0</v>
      </c>
      <c r="L13" s="424">
        <f>F13+H13+J13</f>
        <v>0</v>
      </c>
      <c r="M13" s="425">
        <f t="shared" si="14"/>
        <v>0</v>
      </c>
      <c r="N13" s="867">
        <f t="shared" si="8"/>
        <v>0</v>
      </c>
      <c r="AA13" s="326"/>
      <c r="AB13" s="327"/>
      <c r="AC13" s="325"/>
      <c r="AD13" s="325"/>
      <c r="AE13" s="249"/>
      <c r="AF13" s="325"/>
      <c r="AG13" s="249"/>
      <c r="AH13" s="325"/>
      <c r="AI13" s="249"/>
      <c r="AJ13" s="424">
        <f t="shared" si="9"/>
        <v>0</v>
      </c>
      <c r="AK13" s="425">
        <f t="shared" si="10"/>
        <v>0</v>
      </c>
      <c r="AL13" s="867">
        <f t="shared" si="11"/>
        <v>0</v>
      </c>
    </row>
    <row r="14" spans="1:38" ht="12.75" customHeight="1">
      <c r="A14" s="152" t="s">
        <v>832</v>
      </c>
      <c r="B14" s="355" t="s">
        <v>663</v>
      </c>
      <c r="C14" s="938">
        <f t="shared" si="12"/>
        <v>0</v>
      </c>
      <c r="D14" s="939">
        <f t="shared" si="0"/>
        <v>0</v>
      </c>
      <c r="E14" s="940">
        <f t="shared" si="1"/>
        <v>0</v>
      </c>
      <c r="F14" s="940">
        <f t="shared" si="2"/>
        <v>0</v>
      </c>
      <c r="G14" s="941">
        <f t="shared" si="3"/>
        <v>0</v>
      </c>
      <c r="H14" s="940">
        <f t="shared" si="4"/>
        <v>0</v>
      </c>
      <c r="I14" s="941">
        <f t="shared" si="5"/>
        <v>0</v>
      </c>
      <c r="J14" s="940">
        <f t="shared" si="6"/>
        <v>0</v>
      </c>
      <c r="K14" s="941">
        <f t="shared" si="7"/>
        <v>0</v>
      </c>
      <c r="L14" s="424">
        <f>F14+H14+J14</f>
        <v>0</v>
      </c>
      <c r="M14" s="425">
        <f>G14+I14+K14</f>
        <v>0</v>
      </c>
      <c r="N14" s="867">
        <f t="shared" si="8"/>
        <v>0</v>
      </c>
      <c r="AA14" s="326"/>
      <c r="AB14" s="327"/>
      <c r="AC14" s="325"/>
      <c r="AD14" s="325"/>
      <c r="AE14" s="249"/>
      <c r="AF14" s="325"/>
      <c r="AG14" s="249"/>
      <c r="AH14" s="325"/>
      <c r="AI14" s="249"/>
      <c r="AJ14" s="424">
        <f t="shared" si="9"/>
        <v>0</v>
      </c>
      <c r="AK14" s="425">
        <f t="shared" si="10"/>
        <v>0</v>
      </c>
      <c r="AL14" s="867">
        <f t="shared" si="11"/>
        <v>0</v>
      </c>
    </row>
    <row r="15" spans="1:38" ht="12.75" customHeight="1">
      <c r="A15" s="152" t="s">
        <v>664</v>
      </c>
      <c r="B15" s="355" t="s">
        <v>665</v>
      </c>
      <c r="C15" s="938">
        <f t="shared" si="12"/>
        <v>0</v>
      </c>
      <c r="D15" s="939">
        <f t="shared" si="0"/>
        <v>0</v>
      </c>
      <c r="E15" s="940">
        <f t="shared" si="1"/>
        <v>0</v>
      </c>
      <c r="F15" s="940">
        <f t="shared" si="2"/>
        <v>0</v>
      </c>
      <c r="G15" s="941">
        <f t="shared" si="3"/>
        <v>0</v>
      </c>
      <c r="H15" s="940">
        <f t="shared" si="4"/>
        <v>0</v>
      </c>
      <c r="I15" s="941">
        <f t="shared" si="5"/>
        <v>0</v>
      </c>
      <c r="J15" s="940">
        <f t="shared" si="6"/>
        <v>0</v>
      </c>
      <c r="K15" s="941">
        <f t="shared" si="7"/>
        <v>0</v>
      </c>
      <c r="L15" s="424">
        <f t="shared" si="13"/>
        <v>0</v>
      </c>
      <c r="M15" s="425">
        <f t="shared" si="14"/>
        <v>0</v>
      </c>
      <c r="N15" s="867">
        <f t="shared" si="8"/>
        <v>0</v>
      </c>
      <c r="AA15" s="326"/>
      <c r="AB15" s="327"/>
      <c r="AC15" s="325"/>
      <c r="AD15" s="325"/>
      <c r="AE15" s="249"/>
      <c r="AF15" s="325"/>
      <c r="AG15" s="249"/>
      <c r="AH15" s="325"/>
      <c r="AI15" s="249"/>
      <c r="AJ15" s="424">
        <f t="shared" ref="AJ15:AJ47" si="15">AD15+AF15+AH15</f>
        <v>0</v>
      </c>
      <c r="AK15" s="425">
        <f t="shared" ref="AK15:AK47" si="16">AE15+AG15+AI15</f>
        <v>0</v>
      </c>
      <c r="AL15" s="867">
        <f t="shared" si="11"/>
        <v>0</v>
      </c>
    </row>
    <row r="16" spans="1:38" ht="12.75" customHeight="1">
      <c r="A16" s="152" t="s">
        <v>485</v>
      </c>
      <c r="B16" s="355" t="s">
        <v>401</v>
      </c>
      <c r="C16" s="938">
        <f t="shared" si="12"/>
        <v>0</v>
      </c>
      <c r="D16" s="939">
        <f t="shared" si="0"/>
        <v>0</v>
      </c>
      <c r="E16" s="940">
        <f t="shared" si="1"/>
        <v>0</v>
      </c>
      <c r="F16" s="940">
        <f t="shared" si="2"/>
        <v>0</v>
      </c>
      <c r="G16" s="941">
        <f t="shared" si="3"/>
        <v>0</v>
      </c>
      <c r="H16" s="940">
        <f t="shared" si="4"/>
        <v>0</v>
      </c>
      <c r="I16" s="941">
        <f t="shared" si="5"/>
        <v>0</v>
      </c>
      <c r="J16" s="940">
        <f t="shared" si="6"/>
        <v>0</v>
      </c>
      <c r="K16" s="941">
        <f t="shared" si="7"/>
        <v>0</v>
      </c>
      <c r="L16" s="424">
        <f t="shared" si="13"/>
        <v>0</v>
      </c>
      <c r="M16" s="425">
        <f t="shared" si="14"/>
        <v>0</v>
      </c>
      <c r="N16" s="867">
        <f t="shared" si="8"/>
        <v>0</v>
      </c>
      <c r="AA16" s="326"/>
      <c r="AB16" s="327"/>
      <c r="AC16" s="325"/>
      <c r="AD16" s="325"/>
      <c r="AE16" s="249"/>
      <c r="AF16" s="325"/>
      <c r="AG16" s="249"/>
      <c r="AH16" s="325"/>
      <c r="AI16" s="249"/>
      <c r="AJ16" s="424">
        <f t="shared" si="15"/>
        <v>0</v>
      </c>
      <c r="AK16" s="425">
        <f t="shared" si="16"/>
        <v>0</v>
      </c>
      <c r="AL16" s="867">
        <f t="shared" si="11"/>
        <v>0</v>
      </c>
    </row>
    <row r="17" spans="1:38" ht="12.75" customHeight="1">
      <c r="A17" s="152" t="s">
        <v>486</v>
      </c>
      <c r="B17" s="355" t="s">
        <v>318</v>
      </c>
      <c r="C17" s="938">
        <f t="shared" si="12"/>
        <v>0</v>
      </c>
      <c r="D17" s="939">
        <f t="shared" si="0"/>
        <v>0</v>
      </c>
      <c r="E17" s="940">
        <f t="shared" si="1"/>
        <v>0</v>
      </c>
      <c r="F17" s="940">
        <f t="shared" si="2"/>
        <v>0</v>
      </c>
      <c r="G17" s="941">
        <f t="shared" si="3"/>
        <v>0</v>
      </c>
      <c r="H17" s="940">
        <f t="shared" si="4"/>
        <v>0</v>
      </c>
      <c r="I17" s="941">
        <f t="shared" si="5"/>
        <v>0</v>
      </c>
      <c r="J17" s="940">
        <f t="shared" si="6"/>
        <v>0</v>
      </c>
      <c r="K17" s="941">
        <f t="shared" si="7"/>
        <v>0</v>
      </c>
      <c r="L17" s="424">
        <f t="shared" si="13"/>
        <v>0</v>
      </c>
      <c r="M17" s="425">
        <f t="shared" si="14"/>
        <v>0</v>
      </c>
      <c r="N17" s="867">
        <f t="shared" si="8"/>
        <v>0</v>
      </c>
      <c r="AA17" s="326"/>
      <c r="AB17" s="327"/>
      <c r="AC17" s="325"/>
      <c r="AD17" s="325"/>
      <c r="AE17" s="249"/>
      <c r="AF17" s="325"/>
      <c r="AG17" s="249"/>
      <c r="AH17" s="325"/>
      <c r="AI17" s="249"/>
      <c r="AJ17" s="424">
        <f t="shared" si="15"/>
        <v>0</v>
      </c>
      <c r="AK17" s="425">
        <f t="shared" si="16"/>
        <v>0</v>
      </c>
      <c r="AL17" s="867">
        <f t="shared" si="11"/>
        <v>0</v>
      </c>
    </row>
    <row r="18" spans="1:38" ht="12.75" customHeight="1">
      <c r="A18" s="152" t="s">
        <v>833</v>
      </c>
      <c r="B18" s="355" t="s">
        <v>402</v>
      </c>
      <c r="C18" s="938">
        <f t="shared" si="12"/>
        <v>0</v>
      </c>
      <c r="D18" s="939">
        <f t="shared" si="0"/>
        <v>0</v>
      </c>
      <c r="E18" s="940">
        <f t="shared" si="1"/>
        <v>0</v>
      </c>
      <c r="F18" s="940">
        <f t="shared" si="2"/>
        <v>0</v>
      </c>
      <c r="G18" s="941">
        <f t="shared" si="3"/>
        <v>0</v>
      </c>
      <c r="H18" s="940">
        <f t="shared" si="4"/>
        <v>0</v>
      </c>
      <c r="I18" s="941">
        <f t="shared" si="5"/>
        <v>0</v>
      </c>
      <c r="J18" s="940">
        <f t="shared" si="6"/>
        <v>0</v>
      </c>
      <c r="K18" s="941">
        <f t="shared" si="7"/>
        <v>0</v>
      </c>
      <c r="L18" s="424">
        <f t="shared" si="13"/>
        <v>0</v>
      </c>
      <c r="M18" s="425">
        <f t="shared" si="14"/>
        <v>0</v>
      </c>
      <c r="N18" s="867">
        <f t="shared" si="8"/>
        <v>0</v>
      </c>
      <c r="AA18" s="326"/>
      <c r="AB18" s="327"/>
      <c r="AC18" s="325"/>
      <c r="AD18" s="325"/>
      <c r="AE18" s="249"/>
      <c r="AF18" s="325"/>
      <c r="AG18" s="249"/>
      <c r="AH18" s="325"/>
      <c r="AI18" s="249"/>
      <c r="AJ18" s="424">
        <f t="shared" si="15"/>
        <v>0</v>
      </c>
      <c r="AK18" s="425">
        <f t="shared" si="16"/>
        <v>0</v>
      </c>
      <c r="AL18" s="867">
        <f t="shared" si="11"/>
        <v>0</v>
      </c>
    </row>
    <row r="19" spans="1:38" ht="12.75" customHeight="1">
      <c r="A19" s="152" t="s">
        <v>834</v>
      </c>
      <c r="B19" s="355" t="s">
        <v>403</v>
      </c>
      <c r="C19" s="938">
        <f t="shared" si="12"/>
        <v>0</v>
      </c>
      <c r="D19" s="939">
        <f t="shared" si="0"/>
        <v>0</v>
      </c>
      <c r="E19" s="940">
        <f t="shared" si="1"/>
        <v>0</v>
      </c>
      <c r="F19" s="940">
        <f t="shared" si="2"/>
        <v>0</v>
      </c>
      <c r="G19" s="941">
        <f t="shared" si="3"/>
        <v>0</v>
      </c>
      <c r="H19" s="940">
        <f t="shared" si="4"/>
        <v>0</v>
      </c>
      <c r="I19" s="941">
        <f t="shared" si="5"/>
        <v>0</v>
      </c>
      <c r="J19" s="940">
        <f t="shared" si="6"/>
        <v>0</v>
      </c>
      <c r="K19" s="941">
        <f t="shared" si="7"/>
        <v>0</v>
      </c>
      <c r="L19" s="424">
        <f t="shared" si="13"/>
        <v>0</v>
      </c>
      <c r="M19" s="425">
        <f t="shared" si="14"/>
        <v>0</v>
      </c>
      <c r="N19" s="867">
        <f t="shared" si="8"/>
        <v>0</v>
      </c>
      <c r="AA19" s="326"/>
      <c r="AB19" s="327"/>
      <c r="AC19" s="325"/>
      <c r="AD19" s="325"/>
      <c r="AE19" s="249"/>
      <c r="AF19" s="325"/>
      <c r="AG19" s="249"/>
      <c r="AH19" s="325"/>
      <c r="AI19" s="249"/>
      <c r="AJ19" s="424">
        <f t="shared" si="15"/>
        <v>0</v>
      </c>
      <c r="AK19" s="425">
        <f t="shared" si="16"/>
        <v>0</v>
      </c>
      <c r="AL19" s="867">
        <f t="shared" si="11"/>
        <v>0</v>
      </c>
    </row>
    <row r="20" spans="1:38" ht="12.75" customHeight="1">
      <c r="A20" s="152" t="s">
        <v>835</v>
      </c>
      <c r="B20" s="355" t="s">
        <v>404</v>
      </c>
      <c r="C20" s="938">
        <f t="shared" si="12"/>
        <v>0</v>
      </c>
      <c r="D20" s="939">
        <f t="shared" si="0"/>
        <v>0</v>
      </c>
      <c r="E20" s="940">
        <f t="shared" si="1"/>
        <v>0</v>
      </c>
      <c r="F20" s="940">
        <f t="shared" si="2"/>
        <v>0</v>
      </c>
      <c r="G20" s="941">
        <f t="shared" si="3"/>
        <v>0</v>
      </c>
      <c r="H20" s="940">
        <f t="shared" si="4"/>
        <v>0</v>
      </c>
      <c r="I20" s="941">
        <f t="shared" si="5"/>
        <v>0</v>
      </c>
      <c r="J20" s="940">
        <f t="shared" si="6"/>
        <v>0</v>
      </c>
      <c r="K20" s="941">
        <f t="shared" si="7"/>
        <v>0</v>
      </c>
      <c r="L20" s="424">
        <f t="shared" si="13"/>
        <v>0</v>
      </c>
      <c r="M20" s="425">
        <f t="shared" si="14"/>
        <v>0</v>
      </c>
      <c r="N20" s="867">
        <f t="shared" si="8"/>
        <v>0</v>
      </c>
      <c r="AA20" s="326"/>
      <c r="AB20" s="327"/>
      <c r="AC20" s="325"/>
      <c r="AD20" s="325"/>
      <c r="AE20" s="249"/>
      <c r="AF20" s="325"/>
      <c r="AG20" s="249"/>
      <c r="AH20" s="325"/>
      <c r="AI20" s="249"/>
      <c r="AJ20" s="424">
        <f t="shared" si="15"/>
        <v>0</v>
      </c>
      <c r="AK20" s="425">
        <f t="shared" si="16"/>
        <v>0</v>
      </c>
      <c r="AL20" s="867">
        <f t="shared" si="11"/>
        <v>0</v>
      </c>
    </row>
    <row r="21" spans="1:38" ht="12.75" customHeight="1">
      <c r="A21" s="152" t="s">
        <v>836</v>
      </c>
      <c r="B21" s="355" t="s">
        <v>374</v>
      </c>
      <c r="C21" s="938">
        <f t="shared" si="12"/>
        <v>0</v>
      </c>
      <c r="D21" s="939">
        <f t="shared" si="0"/>
        <v>0</v>
      </c>
      <c r="E21" s="940">
        <f t="shared" si="1"/>
        <v>0</v>
      </c>
      <c r="F21" s="940">
        <f t="shared" si="2"/>
        <v>0</v>
      </c>
      <c r="G21" s="941">
        <f t="shared" si="3"/>
        <v>0</v>
      </c>
      <c r="H21" s="940">
        <f t="shared" si="4"/>
        <v>0</v>
      </c>
      <c r="I21" s="941">
        <f t="shared" si="5"/>
        <v>0</v>
      </c>
      <c r="J21" s="940">
        <f t="shared" si="6"/>
        <v>0</v>
      </c>
      <c r="K21" s="941">
        <f t="shared" si="7"/>
        <v>0</v>
      </c>
      <c r="L21" s="424">
        <f t="shared" si="13"/>
        <v>0</v>
      </c>
      <c r="M21" s="425">
        <f t="shared" si="14"/>
        <v>0</v>
      </c>
      <c r="N21" s="867">
        <f t="shared" si="8"/>
        <v>0</v>
      </c>
      <c r="AA21" s="326"/>
      <c r="AB21" s="327"/>
      <c r="AC21" s="325"/>
      <c r="AD21" s="325"/>
      <c r="AE21" s="249"/>
      <c r="AF21" s="325"/>
      <c r="AG21" s="249"/>
      <c r="AH21" s="325"/>
      <c r="AI21" s="249"/>
      <c r="AJ21" s="424">
        <f t="shared" si="15"/>
        <v>0</v>
      </c>
      <c r="AK21" s="425">
        <f t="shared" si="16"/>
        <v>0</v>
      </c>
      <c r="AL21" s="867">
        <f t="shared" si="11"/>
        <v>0</v>
      </c>
    </row>
    <row r="22" spans="1:38" ht="12.75" customHeight="1">
      <c r="A22" s="152" t="s">
        <v>487</v>
      </c>
      <c r="B22" s="355" t="s">
        <v>375</v>
      </c>
      <c r="C22" s="938">
        <f t="shared" si="12"/>
        <v>0</v>
      </c>
      <c r="D22" s="939">
        <f t="shared" si="0"/>
        <v>0</v>
      </c>
      <c r="E22" s="940">
        <f t="shared" si="1"/>
        <v>0</v>
      </c>
      <c r="F22" s="940">
        <f t="shared" si="2"/>
        <v>0</v>
      </c>
      <c r="G22" s="941">
        <f t="shared" si="3"/>
        <v>0</v>
      </c>
      <c r="H22" s="940">
        <f t="shared" si="4"/>
        <v>0</v>
      </c>
      <c r="I22" s="941">
        <f t="shared" si="5"/>
        <v>0</v>
      </c>
      <c r="J22" s="940">
        <f t="shared" si="6"/>
        <v>0</v>
      </c>
      <c r="K22" s="941">
        <f t="shared" si="7"/>
        <v>0</v>
      </c>
      <c r="L22" s="424">
        <f t="shared" si="13"/>
        <v>0</v>
      </c>
      <c r="M22" s="425">
        <f t="shared" si="14"/>
        <v>0</v>
      </c>
      <c r="N22" s="867">
        <f t="shared" si="8"/>
        <v>0</v>
      </c>
      <c r="AA22" s="326"/>
      <c r="AB22" s="327"/>
      <c r="AC22" s="325"/>
      <c r="AD22" s="325"/>
      <c r="AE22" s="249"/>
      <c r="AF22" s="325"/>
      <c r="AG22" s="249"/>
      <c r="AH22" s="325"/>
      <c r="AI22" s="249"/>
      <c r="AJ22" s="424">
        <f t="shared" si="15"/>
        <v>0</v>
      </c>
      <c r="AK22" s="425">
        <f t="shared" si="16"/>
        <v>0</v>
      </c>
      <c r="AL22" s="867">
        <f t="shared" si="11"/>
        <v>0</v>
      </c>
    </row>
    <row r="23" spans="1:38" ht="12.75" customHeight="1">
      <c r="A23" s="152" t="s">
        <v>488</v>
      </c>
      <c r="B23" s="355" t="s">
        <v>319</v>
      </c>
      <c r="C23" s="938">
        <f t="shared" si="12"/>
        <v>0</v>
      </c>
      <c r="D23" s="939">
        <f t="shared" si="0"/>
        <v>0</v>
      </c>
      <c r="E23" s="940">
        <f t="shared" si="1"/>
        <v>0</v>
      </c>
      <c r="F23" s="940">
        <f t="shared" si="2"/>
        <v>0</v>
      </c>
      <c r="G23" s="941">
        <f t="shared" si="3"/>
        <v>0</v>
      </c>
      <c r="H23" s="940">
        <f t="shared" si="4"/>
        <v>0</v>
      </c>
      <c r="I23" s="941">
        <f t="shared" si="5"/>
        <v>0</v>
      </c>
      <c r="J23" s="940">
        <f t="shared" si="6"/>
        <v>0</v>
      </c>
      <c r="K23" s="941">
        <f t="shared" si="7"/>
        <v>0</v>
      </c>
      <c r="L23" s="424">
        <f t="shared" si="13"/>
        <v>0</v>
      </c>
      <c r="M23" s="425">
        <f t="shared" si="14"/>
        <v>0</v>
      </c>
      <c r="N23" s="867">
        <f t="shared" si="8"/>
        <v>0</v>
      </c>
      <c r="AA23" s="326"/>
      <c r="AB23" s="327"/>
      <c r="AC23" s="325"/>
      <c r="AD23" s="325"/>
      <c r="AE23" s="249"/>
      <c r="AF23" s="325"/>
      <c r="AG23" s="249"/>
      <c r="AH23" s="325"/>
      <c r="AI23" s="249"/>
      <c r="AJ23" s="424">
        <f t="shared" si="15"/>
        <v>0</v>
      </c>
      <c r="AK23" s="425">
        <f t="shared" si="16"/>
        <v>0</v>
      </c>
      <c r="AL23" s="867">
        <f t="shared" si="11"/>
        <v>0</v>
      </c>
    </row>
    <row r="24" spans="1:38" ht="12.75" customHeight="1">
      <c r="A24" s="152" t="s">
        <v>489</v>
      </c>
      <c r="B24" s="355" t="s">
        <v>320</v>
      </c>
      <c r="C24" s="938">
        <f t="shared" si="12"/>
        <v>0</v>
      </c>
      <c r="D24" s="939">
        <f t="shared" si="0"/>
        <v>1</v>
      </c>
      <c r="E24" s="940">
        <f t="shared" si="1"/>
        <v>0</v>
      </c>
      <c r="F24" s="940">
        <f t="shared" si="2"/>
        <v>0</v>
      </c>
      <c r="G24" s="941">
        <f t="shared" si="3"/>
        <v>0</v>
      </c>
      <c r="H24" s="940">
        <f t="shared" si="4"/>
        <v>0</v>
      </c>
      <c r="I24" s="941">
        <f t="shared" si="5"/>
        <v>0</v>
      </c>
      <c r="J24" s="940">
        <f t="shared" si="6"/>
        <v>0</v>
      </c>
      <c r="K24" s="941">
        <f t="shared" si="7"/>
        <v>0</v>
      </c>
      <c r="L24" s="424">
        <f t="shared" si="13"/>
        <v>0</v>
      </c>
      <c r="M24" s="425">
        <f t="shared" si="14"/>
        <v>0</v>
      </c>
      <c r="N24" s="867">
        <f t="shared" si="8"/>
        <v>0</v>
      </c>
      <c r="AA24" s="326"/>
      <c r="AB24" s="327">
        <v>1</v>
      </c>
      <c r="AC24" s="325"/>
      <c r="AD24" s="325"/>
      <c r="AE24" s="249"/>
      <c r="AF24" s="325"/>
      <c r="AG24" s="249"/>
      <c r="AH24" s="325"/>
      <c r="AI24" s="249"/>
      <c r="AJ24" s="424">
        <f t="shared" si="15"/>
        <v>0</v>
      </c>
      <c r="AK24" s="425">
        <f t="shared" si="16"/>
        <v>0</v>
      </c>
      <c r="AL24" s="867">
        <f t="shared" si="11"/>
        <v>0</v>
      </c>
    </row>
    <row r="25" spans="1:38" ht="12.75" customHeight="1">
      <c r="A25" s="152" t="s">
        <v>490</v>
      </c>
      <c r="B25" s="355" t="s">
        <v>376</v>
      </c>
      <c r="C25" s="938">
        <f t="shared" si="12"/>
        <v>0</v>
      </c>
      <c r="D25" s="939">
        <f t="shared" si="0"/>
        <v>0</v>
      </c>
      <c r="E25" s="940">
        <f t="shared" si="1"/>
        <v>0</v>
      </c>
      <c r="F25" s="940">
        <f t="shared" si="2"/>
        <v>1</v>
      </c>
      <c r="G25" s="941">
        <f t="shared" si="3"/>
        <v>0</v>
      </c>
      <c r="H25" s="940">
        <f t="shared" si="4"/>
        <v>0</v>
      </c>
      <c r="I25" s="941">
        <f t="shared" si="5"/>
        <v>0</v>
      </c>
      <c r="J25" s="940">
        <f t="shared" si="6"/>
        <v>0</v>
      </c>
      <c r="K25" s="941">
        <f t="shared" si="7"/>
        <v>0</v>
      </c>
      <c r="L25" s="424">
        <f t="shared" si="13"/>
        <v>1</v>
      </c>
      <c r="M25" s="425">
        <f t="shared" si="14"/>
        <v>0</v>
      </c>
      <c r="N25" s="867">
        <f t="shared" si="8"/>
        <v>1</v>
      </c>
      <c r="AA25" s="326"/>
      <c r="AB25" s="327"/>
      <c r="AC25" s="325"/>
      <c r="AD25" s="325">
        <v>1</v>
      </c>
      <c r="AE25" s="249"/>
      <c r="AF25" s="325"/>
      <c r="AG25" s="249"/>
      <c r="AH25" s="325"/>
      <c r="AI25" s="249"/>
      <c r="AJ25" s="424">
        <f t="shared" si="15"/>
        <v>1</v>
      </c>
      <c r="AK25" s="425">
        <f t="shared" si="16"/>
        <v>0</v>
      </c>
      <c r="AL25" s="867">
        <f t="shared" si="11"/>
        <v>1</v>
      </c>
    </row>
    <row r="26" spans="1:38" ht="12.75" customHeight="1">
      <c r="A26" s="152" t="s">
        <v>491</v>
      </c>
      <c r="B26" s="355" t="s">
        <v>321</v>
      </c>
      <c r="C26" s="938">
        <f t="shared" si="12"/>
        <v>0</v>
      </c>
      <c r="D26" s="939">
        <f t="shared" si="0"/>
        <v>0</v>
      </c>
      <c r="E26" s="940">
        <f t="shared" si="1"/>
        <v>0</v>
      </c>
      <c r="F26" s="940">
        <f t="shared" si="2"/>
        <v>0</v>
      </c>
      <c r="G26" s="941">
        <f t="shared" si="3"/>
        <v>0</v>
      </c>
      <c r="H26" s="940">
        <f t="shared" si="4"/>
        <v>0</v>
      </c>
      <c r="I26" s="941">
        <f t="shared" si="5"/>
        <v>0</v>
      </c>
      <c r="J26" s="940">
        <f t="shared" si="6"/>
        <v>0</v>
      </c>
      <c r="K26" s="941">
        <f t="shared" si="7"/>
        <v>0</v>
      </c>
      <c r="L26" s="424">
        <f t="shared" si="13"/>
        <v>0</v>
      </c>
      <c r="M26" s="425">
        <f t="shared" si="14"/>
        <v>0</v>
      </c>
      <c r="N26" s="867">
        <f t="shared" si="8"/>
        <v>0</v>
      </c>
      <c r="AA26" s="326"/>
      <c r="AB26" s="327"/>
      <c r="AC26" s="325"/>
      <c r="AD26" s="325"/>
      <c r="AE26" s="249"/>
      <c r="AF26" s="325"/>
      <c r="AG26" s="249"/>
      <c r="AH26" s="325"/>
      <c r="AI26" s="249"/>
      <c r="AJ26" s="424">
        <f t="shared" si="15"/>
        <v>0</v>
      </c>
      <c r="AK26" s="425">
        <f t="shared" si="16"/>
        <v>0</v>
      </c>
      <c r="AL26" s="867">
        <f t="shared" si="11"/>
        <v>0</v>
      </c>
    </row>
    <row r="27" spans="1:38" ht="12.75" customHeight="1">
      <c r="A27" s="152" t="s">
        <v>492</v>
      </c>
      <c r="B27" s="355" t="s">
        <v>322</v>
      </c>
      <c r="C27" s="938">
        <f t="shared" si="12"/>
        <v>0</v>
      </c>
      <c r="D27" s="939">
        <f t="shared" si="0"/>
        <v>0</v>
      </c>
      <c r="E27" s="940">
        <f t="shared" si="1"/>
        <v>0</v>
      </c>
      <c r="F27" s="940">
        <f t="shared" si="2"/>
        <v>0</v>
      </c>
      <c r="G27" s="941">
        <f t="shared" si="3"/>
        <v>0</v>
      </c>
      <c r="H27" s="940">
        <f t="shared" si="4"/>
        <v>0</v>
      </c>
      <c r="I27" s="941">
        <f t="shared" si="5"/>
        <v>0</v>
      </c>
      <c r="J27" s="940">
        <f t="shared" si="6"/>
        <v>0</v>
      </c>
      <c r="K27" s="941">
        <f t="shared" si="7"/>
        <v>0</v>
      </c>
      <c r="L27" s="424">
        <f t="shared" si="13"/>
        <v>0</v>
      </c>
      <c r="M27" s="425">
        <f t="shared" si="14"/>
        <v>0</v>
      </c>
      <c r="N27" s="867">
        <f t="shared" si="8"/>
        <v>0</v>
      </c>
      <c r="AA27" s="326"/>
      <c r="AB27" s="327"/>
      <c r="AC27" s="325"/>
      <c r="AD27" s="325"/>
      <c r="AE27" s="249"/>
      <c r="AF27" s="325"/>
      <c r="AG27" s="249"/>
      <c r="AH27" s="325"/>
      <c r="AI27" s="249"/>
      <c r="AJ27" s="424">
        <f t="shared" si="15"/>
        <v>0</v>
      </c>
      <c r="AK27" s="425">
        <f t="shared" si="16"/>
        <v>0</v>
      </c>
      <c r="AL27" s="867">
        <f t="shared" si="11"/>
        <v>0</v>
      </c>
    </row>
    <row r="28" spans="1:38" ht="12.75" customHeight="1">
      <c r="A28" s="152" t="s">
        <v>493</v>
      </c>
      <c r="B28" s="355" t="s">
        <v>323</v>
      </c>
      <c r="C28" s="938">
        <f t="shared" si="12"/>
        <v>0</v>
      </c>
      <c r="D28" s="939">
        <f t="shared" si="0"/>
        <v>0</v>
      </c>
      <c r="E28" s="940">
        <f t="shared" si="1"/>
        <v>0</v>
      </c>
      <c r="F28" s="940">
        <f t="shared" si="2"/>
        <v>0</v>
      </c>
      <c r="G28" s="941">
        <f t="shared" si="3"/>
        <v>0</v>
      </c>
      <c r="H28" s="940">
        <f t="shared" si="4"/>
        <v>0</v>
      </c>
      <c r="I28" s="941">
        <f t="shared" si="5"/>
        <v>0</v>
      </c>
      <c r="J28" s="940">
        <f t="shared" si="6"/>
        <v>0</v>
      </c>
      <c r="K28" s="941">
        <f t="shared" si="7"/>
        <v>0</v>
      </c>
      <c r="L28" s="424">
        <f t="shared" si="13"/>
        <v>0</v>
      </c>
      <c r="M28" s="425">
        <f t="shared" si="14"/>
        <v>0</v>
      </c>
      <c r="N28" s="867">
        <f t="shared" si="8"/>
        <v>0</v>
      </c>
      <c r="AA28" s="326"/>
      <c r="AB28" s="327"/>
      <c r="AC28" s="325"/>
      <c r="AD28" s="325"/>
      <c r="AE28" s="249"/>
      <c r="AF28" s="325"/>
      <c r="AG28" s="249"/>
      <c r="AH28" s="325"/>
      <c r="AI28" s="249"/>
      <c r="AJ28" s="424">
        <f t="shared" si="15"/>
        <v>0</v>
      </c>
      <c r="AK28" s="425">
        <f t="shared" si="16"/>
        <v>0</v>
      </c>
      <c r="AL28" s="867">
        <f t="shared" si="11"/>
        <v>0</v>
      </c>
    </row>
    <row r="29" spans="1:38" ht="12.75" customHeight="1">
      <c r="A29" s="152" t="s">
        <v>494</v>
      </c>
      <c r="B29" s="355" t="s">
        <v>324</v>
      </c>
      <c r="C29" s="938">
        <f t="shared" si="12"/>
        <v>0</v>
      </c>
      <c r="D29" s="939">
        <f t="shared" si="0"/>
        <v>1</v>
      </c>
      <c r="E29" s="940">
        <f t="shared" si="1"/>
        <v>0</v>
      </c>
      <c r="F29" s="940">
        <f t="shared" si="2"/>
        <v>0</v>
      </c>
      <c r="G29" s="941">
        <f t="shared" si="3"/>
        <v>1</v>
      </c>
      <c r="H29" s="940">
        <f t="shared" si="4"/>
        <v>0</v>
      </c>
      <c r="I29" s="941">
        <f t="shared" si="5"/>
        <v>0</v>
      </c>
      <c r="J29" s="940">
        <f t="shared" si="6"/>
        <v>0</v>
      </c>
      <c r="K29" s="941">
        <f t="shared" si="7"/>
        <v>0</v>
      </c>
      <c r="L29" s="424">
        <f t="shared" si="13"/>
        <v>0</v>
      </c>
      <c r="M29" s="425">
        <f t="shared" si="14"/>
        <v>1</v>
      </c>
      <c r="N29" s="867">
        <f t="shared" si="8"/>
        <v>1</v>
      </c>
      <c r="AA29" s="326"/>
      <c r="AB29" s="327">
        <v>1</v>
      </c>
      <c r="AC29" s="325"/>
      <c r="AD29" s="325"/>
      <c r="AE29" s="249">
        <v>1</v>
      </c>
      <c r="AF29" s="325"/>
      <c r="AG29" s="249"/>
      <c r="AH29" s="325"/>
      <c r="AI29" s="249"/>
      <c r="AJ29" s="424">
        <f t="shared" si="15"/>
        <v>0</v>
      </c>
      <c r="AK29" s="425">
        <f t="shared" si="16"/>
        <v>1</v>
      </c>
      <c r="AL29" s="867">
        <f t="shared" si="11"/>
        <v>1</v>
      </c>
    </row>
    <row r="30" spans="1:38" ht="12.75" customHeight="1">
      <c r="A30" s="152" t="s">
        <v>495</v>
      </c>
      <c r="B30" s="355" t="s">
        <v>377</v>
      </c>
      <c r="C30" s="938">
        <f t="shared" si="12"/>
        <v>0</v>
      </c>
      <c r="D30" s="939">
        <f t="shared" si="0"/>
        <v>2</v>
      </c>
      <c r="E30" s="940">
        <f t="shared" si="1"/>
        <v>0</v>
      </c>
      <c r="F30" s="940">
        <f t="shared" si="2"/>
        <v>0</v>
      </c>
      <c r="G30" s="941">
        <f t="shared" si="3"/>
        <v>1</v>
      </c>
      <c r="H30" s="940">
        <f t="shared" si="4"/>
        <v>0</v>
      </c>
      <c r="I30" s="941">
        <f t="shared" si="5"/>
        <v>0</v>
      </c>
      <c r="J30" s="940">
        <f t="shared" si="6"/>
        <v>0</v>
      </c>
      <c r="K30" s="941">
        <f t="shared" si="7"/>
        <v>1</v>
      </c>
      <c r="L30" s="424">
        <f t="shared" si="13"/>
        <v>0</v>
      </c>
      <c r="M30" s="425">
        <f t="shared" si="14"/>
        <v>2</v>
      </c>
      <c r="N30" s="867">
        <f t="shared" si="8"/>
        <v>1</v>
      </c>
      <c r="AA30" s="326"/>
      <c r="AB30" s="327">
        <v>2</v>
      </c>
      <c r="AC30" s="325"/>
      <c r="AD30" s="325"/>
      <c r="AE30" s="249">
        <v>1</v>
      </c>
      <c r="AF30" s="325"/>
      <c r="AG30" s="249"/>
      <c r="AH30" s="325"/>
      <c r="AI30" s="249">
        <v>1</v>
      </c>
      <c r="AJ30" s="424">
        <f t="shared" si="15"/>
        <v>0</v>
      </c>
      <c r="AK30" s="425">
        <f t="shared" si="16"/>
        <v>2</v>
      </c>
      <c r="AL30" s="867">
        <f t="shared" si="11"/>
        <v>1</v>
      </c>
    </row>
    <row r="31" spans="1:38" ht="12.75" customHeight="1">
      <c r="A31" s="152" t="s">
        <v>496</v>
      </c>
      <c r="B31" s="355" t="s">
        <v>378</v>
      </c>
      <c r="C31" s="938">
        <f t="shared" si="12"/>
        <v>0</v>
      </c>
      <c r="D31" s="939">
        <f t="shared" si="0"/>
        <v>0</v>
      </c>
      <c r="E31" s="940">
        <f t="shared" si="1"/>
        <v>0</v>
      </c>
      <c r="F31" s="940">
        <f t="shared" si="2"/>
        <v>0</v>
      </c>
      <c r="G31" s="941">
        <f t="shared" si="3"/>
        <v>0</v>
      </c>
      <c r="H31" s="940">
        <f t="shared" si="4"/>
        <v>0</v>
      </c>
      <c r="I31" s="941">
        <f t="shared" si="5"/>
        <v>0</v>
      </c>
      <c r="J31" s="940">
        <f t="shared" si="6"/>
        <v>0</v>
      </c>
      <c r="K31" s="941">
        <f t="shared" si="7"/>
        <v>0</v>
      </c>
      <c r="L31" s="424">
        <f t="shared" si="13"/>
        <v>0</v>
      </c>
      <c r="M31" s="425">
        <f t="shared" si="14"/>
        <v>0</v>
      </c>
      <c r="N31" s="867">
        <f t="shared" si="8"/>
        <v>0</v>
      </c>
      <c r="AA31" s="326"/>
      <c r="AB31" s="327"/>
      <c r="AC31" s="325"/>
      <c r="AD31" s="325"/>
      <c r="AE31" s="249"/>
      <c r="AF31" s="325"/>
      <c r="AG31" s="249"/>
      <c r="AH31" s="325"/>
      <c r="AI31" s="249"/>
      <c r="AJ31" s="424">
        <f t="shared" si="15"/>
        <v>0</v>
      </c>
      <c r="AK31" s="425">
        <f t="shared" si="16"/>
        <v>0</v>
      </c>
      <c r="AL31" s="867">
        <f t="shared" si="11"/>
        <v>0</v>
      </c>
    </row>
    <row r="32" spans="1:38" ht="12.75" customHeight="1">
      <c r="A32" s="152" t="s">
        <v>497</v>
      </c>
      <c r="B32" s="355" t="s">
        <v>379</v>
      </c>
      <c r="C32" s="938">
        <f t="shared" si="12"/>
        <v>0</v>
      </c>
      <c r="D32" s="939">
        <f t="shared" si="0"/>
        <v>0</v>
      </c>
      <c r="E32" s="940">
        <f t="shared" si="1"/>
        <v>0</v>
      </c>
      <c r="F32" s="940">
        <f t="shared" si="2"/>
        <v>0</v>
      </c>
      <c r="G32" s="941">
        <f t="shared" si="3"/>
        <v>0</v>
      </c>
      <c r="H32" s="940">
        <f t="shared" si="4"/>
        <v>0</v>
      </c>
      <c r="I32" s="941">
        <f t="shared" si="5"/>
        <v>0</v>
      </c>
      <c r="J32" s="940">
        <f t="shared" si="6"/>
        <v>0</v>
      </c>
      <c r="K32" s="941">
        <f t="shared" si="7"/>
        <v>0</v>
      </c>
      <c r="L32" s="424">
        <f t="shared" si="13"/>
        <v>0</v>
      </c>
      <c r="M32" s="425">
        <f t="shared" si="14"/>
        <v>0</v>
      </c>
      <c r="N32" s="867">
        <f t="shared" si="8"/>
        <v>0</v>
      </c>
      <c r="AA32" s="326"/>
      <c r="AB32" s="327"/>
      <c r="AC32" s="325"/>
      <c r="AD32" s="325"/>
      <c r="AE32" s="249"/>
      <c r="AF32" s="325"/>
      <c r="AG32" s="249"/>
      <c r="AH32" s="325"/>
      <c r="AI32" s="249"/>
      <c r="AJ32" s="424">
        <f t="shared" si="15"/>
        <v>0</v>
      </c>
      <c r="AK32" s="425">
        <f t="shared" si="16"/>
        <v>0</v>
      </c>
      <c r="AL32" s="867">
        <f t="shared" si="11"/>
        <v>0</v>
      </c>
    </row>
    <row r="33" spans="1:38" ht="12.75" customHeight="1">
      <c r="A33" s="152" t="s">
        <v>837</v>
      </c>
      <c r="B33" s="355" t="s">
        <v>380</v>
      </c>
      <c r="C33" s="938">
        <f t="shared" si="12"/>
        <v>0</v>
      </c>
      <c r="D33" s="939">
        <f t="shared" si="0"/>
        <v>0</v>
      </c>
      <c r="E33" s="940">
        <f t="shared" si="1"/>
        <v>0</v>
      </c>
      <c r="F33" s="940">
        <f t="shared" si="2"/>
        <v>0</v>
      </c>
      <c r="G33" s="941">
        <f t="shared" si="3"/>
        <v>0</v>
      </c>
      <c r="H33" s="940">
        <f t="shared" si="4"/>
        <v>0</v>
      </c>
      <c r="I33" s="941">
        <f t="shared" si="5"/>
        <v>0</v>
      </c>
      <c r="J33" s="940">
        <f t="shared" si="6"/>
        <v>0</v>
      </c>
      <c r="K33" s="941">
        <f t="shared" si="7"/>
        <v>0</v>
      </c>
      <c r="L33" s="424">
        <f t="shared" si="13"/>
        <v>0</v>
      </c>
      <c r="M33" s="425">
        <f t="shared" si="14"/>
        <v>0</v>
      </c>
      <c r="N33" s="867">
        <f t="shared" si="8"/>
        <v>0</v>
      </c>
      <c r="AA33" s="326"/>
      <c r="AB33" s="327"/>
      <c r="AC33" s="325"/>
      <c r="AD33" s="325"/>
      <c r="AE33" s="249"/>
      <c r="AF33" s="325"/>
      <c r="AG33" s="249"/>
      <c r="AH33" s="325"/>
      <c r="AI33" s="249"/>
      <c r="AJ33" s="424">
        <f t="shared" si="15"/>
        <v>0</v>
      </c>
      <c r="AK33" s="425">
        <f t="shared" si="16"/>
        <v>0</v>
      </c>
      <c r="AL33" s="867">
        <f t="shared" si="11"/>
        <v>0</v>
      </c>
    </row>
    <row r="34" spans="1:38" ht="12.75" customHeight="1">
      <c r="A34" s="152" t="s">
        <v>838</v>
      </c>
      <c r="B34" s="355" t="s">
        <v>381</v>
      </c>
      <c r="C34" s="938">
        <f t="shared" si="12"/>
        <v>0</v>
      </c>
      <c r="D34" s="939">
        <f t="shared" si="0"/>
        <v>0</v>
      </c>
      <c r="E34" s="940">
        <f t="shared" si="1"/>
        <v>0</v>
      </c>
      <c r="F34" s="940">
        <f t="shared" si="2"/>
        <v>0</v>
      </c>
      <c r="G34" s="941">
        <f t="shared" si="3"/>
        <v>0</v>
      </c>
      <c r="H34" s="940">
        <f t="shared" si="4"/>
        <v>0</v>
      </c>
      <c r="I34" s="941">
        <f t="shared" si="5"/>
        <v>0</v>
      </c>
      <c r="J34" s="940">
        <f t="shared" si="6"/>
        <v>0</v>
      </c>
      <c r="K34" s="941">
        <f t="shared" si="7"/>
        <v>0</v>
      </c>
      <c r="L34" s="424">
        <f t="shared" si="13"/>
        <v>0</v>
      </c>
      <c r="M34" s="425">
        <f t="shared" si="14"/>
        <v>0</v>
      </c>
      <c r="N34" s="867">
        <f t="shared" si="8"/>
        <v>0</v>
      </c>
      <c r="AA34" s="326"/>
      <c r="AB34" s="327"/>
      <c r="AC34" s="325"/>
      <c r="AD34" s="325"/>
      <c r="AE34" s="249"/>
      <c r="AF34" s="325"/>
      <c r="AG34" s="249"/>
      <c r="AH34" s="325"/>
      <c r="AI34" s="249"/>
      <c r="AJ34" s="424">
        <f t="shared" si="15"/>
        <v>0</v>
      </c>
      <c r="AK34" s="425">
        <f t="shared" si="16"/>
        <v>0</v>
      </c>
      <c r="AL34" s="867">
        <f t="shared" si="11"/>
        <v>0</v>
      </c>
    </row>
    <row r="35" spans="1:38" ht="12.75" customHeight="1">
      <c r="A35" s="152" t="s">
        <v>839</v>
      </c>
      <c r="B35" s="355" t="s">
        <v>382</v>
      </c>
      <c r="C35" s="938">
        <f t="shared" si="12"/>
        <v>0</v>
      </c>
      <c r="D35" s="939">
        <f t="shared" si="0"/>
        <v>0</v>
      </c>
      <c r="E35" s="940">
        <f t="shared" si="1"/>
        <v>0</v>
      </c>
      <c r="F35" s="940">
        <f t="shared" si="2"/>
        <v>0</v>
      </c>
      <c r="G35" s="941">
        <f t="shared" si="3"/>
        <v>0</v>
      </c>
      <c r="H35" s="940">
        <f t="shared" si="4"/>
        <v>0</v>
      </c>
      <c r="I35" s="941">
        <f t="shared" si="5"/>
        <v>0</v>
      </c>
      <c r="J35" s="940">
        <f t="shared" si="6"/>
        <v>0</v>
      </c>
      <c r="K35" s="941">
        <f t="shared" si="7"/>
        <v>0</v>
      </c>
      <c r="L35" s="424">
        <f t="shared" si="13"/>
        <v>0</v>
      </c>
      <c r="M35" s="425">
        <f t="shared" si="14"/>
        <v>0</v>
      </c>
      <c r="N35" s="867">
        <f t="shared" si="8"/>
        <v>0</v>
      </c>
      <c r="AA35" s="326"/>
      <c r="AB35" s="327"/>
      <c r="AC35" s="325"/>
      <c r="AD35" s="325"/>
      <c r="AE35" s="249"/>
      <c r="AF35" s="325"/>
      <c r="AG35" s="249"/>
      <c r="AH35" s="325"/>
      <c r="AI35" s="249"/>
      <c r="AJ35" s="424">
        <f t="shared" si="15"/>
        <v>0</v>
      </c>
      <c r="AK35" s="425">
        <f t="shared" si="16"/>
        <v>0</v>
      </c>
      <c r="AL35" s="867">
        <f t="shared" si="11"/>
        <v>0</v>
      </c>
    </row>
    <row r="36" spans="1:38" ht="12.75" customHeight="1">
      <c r="A36" s="152" t="s">
        <v>840</v>
      </c>
      <c r="B36" s="355" t="s">
        <v>383</v>
      </c>
      <c r="C36" s="938">
        <f t="shared" si="12"/>
        <v>0</v>
      </c>
      <c r="D36" s="939">
        <f t="shared" si="0"/>
        <v>0</v>
      </c>
      <c r="E36" s="940">
        <f t="shared" si="1"/>
        <v>0</v>
      </c>
      <c r="F36" s="940">
        <f t="shared" si="2"/>
        <v>0</v>
      </c>
      <c r="G36" s="941">
        <f t="shared" si="3"/>
        <v>0</v>
      </c>
      <c r="H36" s="940">
        <f t="shared" si="4"/>
        <v>0</v>
      </c>
      <c r="I36" s="941">
        <f t="shared" si="5"/>
        <v>0</v>
      </c>
      <c r="J36" s="940">
        <f t="shared" si="6"/>
        <v>0</v>
      </c>
      <c r="K36" s="941">
        <f t="shared" si="7"/>
        <v>0</v>
      </c>
      <c r="L36" s="424">
        <f t="shared" si="13"/>
        <v>0</v>
      </c>
      <c r="M36" s="425">
        <f t="shared" si="14"/>
        <v>0</v>
      </c>
      <c r="N36" s="867">
        <f t="shared" si="8"/>
        <v>0</v>
      </c>
      <c r="AA36" s="326"/>
      <c r="AB36" s="327"/>
      <c r="AC36" s="325"/>
      <c r="AD36" s="325"/>
      <c r="AE36" s="249"/>
      <c r="AF36" s="325"/>
      <c r="AG36" s="249"/>
      <c r="AH36" s="325"/>
      <c r="AI36" s="249"/>
      <c r="AJ36" s="424">
        <f t="shared" si="15"/>
        <v>0</v>
      </c>
      <c r="AK36" s="425">
        <f t="shared" si="16"/>
        <v>0</v>
      </c>
      <c r="AL36" s="867">
        <f t="shared" si="11"/>
        <v>0</v>
      </c>
    </row>
    <row r="37" spans="1:38" ht="12.75" customHeight="1">
      <c r="A37" s="152" t="s">
        <v>841</v>
      </c>
      <c r="B37" s="355" t="s">
        <v>384</v>
      </c>
      <c r="C37" s="938">
        <f t="shared" si="12"/>
        <v>0</v>
      </c>
      <c r="D37" s="939">
        <f t="shared" si="0"/>
        <v>0</v>
      </c>
      <c r="E37" s="940">
        <f t="shared" si="1"/>
        <v>0</v>
      </c>
      <c r="F37" s="940">
        <f t="shared" si="2"/>
        <v>0</v>
      </c>
      <c r="G37" s="941">
        <f t="shared" si="3"/>
        <v>0</v>
      </c>
      <c r="H37" s="940">
        <f t="shared" si="4"/>
        <v>0</v>
      </c>
      <c r="I37" s="941">
        <f t="shared" si="5"/>
        <v>0</v>
      </c>
      <c r="J37" s="940">
        <f t="shared" si="6"/>
        <v>0</v>
      </c>
      <c r="K37" s="941">
        <f t="shared" si="7"/>
        <v>0</v>
      </c>
      <c r="L37" s="424">
        <f t="shared" si="13"/>
        <v>0</v>
      </c>
      <c r="M37" s="425">
        <f t="shared" si="14"/>
        <v>0</v>
      </c>
      <c r="N37" s="867">
        <f t="shared" si="8"/>
        <v>0</v>
      </c>
      <c r="AA37" s="326"/>
      <c r="AB37" s="327"/>
      <c r="AC37" s="325"/>
      <c r="AD37" s="325"/>
      <c r="AE37" s="249"/>
      <c r="AF37" s="325"/>
      <c r="AG37" s="249"/>
      <c r="AH37" s="325"/>
      <c r="AI37" s="249"/>
      <c r="AJ37" s="424">
        <f t="shared" si="15"/>
        <v>0</v>
      </c>
      <c r="AK37" s="425">
        <f t="shared" si="16"/>
        <v>0</v>
      </c>
      <c r="AL37" s="867">
        <f t="shared" si="11"/>
        <v>0</v>
      </c>
    </row>
    <row r="38" spans="1:38" ht="12.75" customHeight="1">
      <c r="A38" s="152" t="s">
        <v>842</v>
      </c>
      <c r="B38" s="355" t="s">
        <v>385</v>
      </c>
      <c r="C38" s="938">
        <f t="shared" si="12"/>
        <v>0</v>
      </c>
      <c r="D38" s="939">
        <f t="shared" si="0"/>
        <v>0</v>
      </c>
      <c r="E38" s="940">
        <f t="shared" si="1"/>
        <v>0</v>
      </c>
      <c r="F38" s="940">
        <f t="shared" si="2"/>
        <v>0</v>
      </c>
      <c r="G38" s="941">
        <f t="shared" si="3"/>
        <v>0</v>
      </c>
      <c r="H38" s="940">
        <f t="shared" si="4"/>
        <v>0</v>
      </c>
      <c r="I38" s="941">
        <f t="shared" si="5"/>
        <v>0</v>
      </c>
      <c r="J38" s="940">
        <f t="shared" si="6"/>
        <v>0</v>
      </c>
      <c r="K38" s="941">
        <f t="shared" si="7"/>
        <v>0</v>
      </c>
      <c r="L38" s="424">
        <f t="shared" si="13"/>
        <v>0</v>
      </c>
      <c r="M38" s="425">
        <f t="shared" si="14"/>
        <v>0</v>
      </c>
      <c r="N38" s="867">
        <f t="shared" si="8"/>
        <v>0</v>
      </c>
      <c r="AA38" s="326"/>
      <c r="AB38" s="327"/>
      <c r="AC38" s="325"/>
      <c r="AD38" s="325"/>
      <c r="AE38" s="249"/>
      <c r="AF38" s="325"/>
      <c r="AG38" s="249"/>
      <c r="AH38" s="325"/>
      <c r="AI38" s="249"/>
      <c r="AJ38" s="424">
        <f t="shared" si="15"/>
        <v>0</v>
      </c>
      <c r="AK38" s="425">
        <f t="shared" si="16"/>
        <v>0</v>
      </c>
      <c r="AL38" s="867">
        <f t="shared" si="11"/>
        <v>0</v>
      </c>
    </row>
    <row r="39" spans="1:38" ht="12.75" customHeight="1">
      <c r="A39" s="152" t="s">
        <v>498</v>
      </c>
      <c r="B39" s="355" t="s">
        <v>386</v>
      </c>
      <c r="C39" s="938">
        <f t="shared" si="12"/>
        <v>0</v>
      </c>
      <c r="D39" s="939">
        <f t="shared" si="0"/>
        <v>0</v>
      </c>
      <c r="E39" s="940">
        <f t="shared" si="1"/>
        <v>0</v>
      </c>
      <c r="F39" s="940">
        <f t="shared" si="2"/>
        <v>0</v>
      </c>
      <c r="G39" s="941">
        <f t="shared" si="3"/>
        <v>0</v>
      </c>
      <c r="H39" s="940">
        <f t="shared" si="4"/>
        <v>0</v>
      </c>
      <c r="I39" s="941">
        <f t="shared" si="5"/>
        <v>0</v>
      </c>
      <c r="J39" s="940">
        <f t="shared" si="6"/>
        <v>0</v>
      </c>
      <c r="K39" s="941">
        <f t="shared" si="7"/>
        <v>0</v>
      </c>
      <c r="L39" s="424">
        <f t="shared" si="13"/>
        <v>0</v>
      </c>
      <c r="M39" s="425">
        <f t="shared" si="14"/>
        <v>0</v>
      </c>
      <c r="N39" s="867">
        <f t="shared" si="8"/>
        <v>0</v>
      </c>
      <c r="AA39" s="326"/>
      <c r="AB39" s="327"/>
      <c r="AC39" s="325"/>
      <c r="AD39" s="325"/>
      <c r="AE39" s="249"/>
      <c r="AF39" s="325"/>
      <c r="AG39" s="249"/>
      <c r="AH39" s="325"/>
      <c r="AI39" s="249"/>
      <c r="AJ39" s="424">
        <f t="shared" si="15"/>
        <v>0</v>
      </c>
      <c r="AK39" s="425">
        <f t="shared" si="16"/>
        <v>0</v>
      </c>
      <c r="AL39" s="867">
        <f t="shared" si="11"/>
        <v>0</v>
      </c>
    </row>
    <row r="40" spans="1:38" ht="12.75" customHeight="1">
      <c r="A40" s="152" t="s">
        <v>499</v>
      </c>
      <c r="B40" s="355" t="s">
        <v>325</v>
      </c>
      <c r="C40" s="938">
        <f t="shared" si="12"/>
        <v>0</v>
      </c>
      <c r="D40" s="939">
        <f t="shared" si="0"/>
        <v>0</v>
      </c>
      <c r="E40" s="940">
        <f t="shared" si="1"/>
        <v>0</v>
      </c>
      <c r="F40" s="940">
        <f t="shared" si="2"/>
        <v>0</v>
      </c>
      <c r="G40" s="941">
        <f t="shared" si="3"/>
        <v>0</v>
      </c>
      <c r="H40" s="940">
        <f t="shared" si="4"/>
        <v>0</v>
      </c>
      <c r="I40" s="941">
        <f t="shared" si="5"/>
        <v>0</v>
      </c>
      <c r="J40" s="940">
        <f t="shared" si="6"/>
        <v>0</v>
      </c>
      <c r="K40" s="941">
        <f t="shared" si="7"/>
        <v>0</v>
      </c>
      <c r="L40" s="424">
        <f t="shared" si="13"/>
        <v>0</v>
      </c>
      <c r="M40" s="425">
        <f t="shared" si="14"/>
        <v>0</v>
      </c>
      <c r="N40" s="867">
        <f t="shared" si="8"/>
        <v>0</v>
      </c>
      <c r="AA40" s="326"/>
      <c r="AB40" s="327"/>
      <c r="AC40" s="325"/>
      <c r="AD40" s="325"/>
      <c r="AE40" s="249"/>
      <c r="AF40" s="325"/>
      <c r="AG40" s="249"/>
      <c r="AH40" s="325"/>
      <c r="AI40" s="249"/>
      <c r="AJ40" s="424">
        <f t="shared" si="15"/>
        <v>0</v>
      </c>
      <c r="AK40" s="425">
        <f t="shared" si="16"/>
        <v>0</v>
      </c>
      <c r="AL40" s="867">
        <f t="shared" si="11"/>
        <v>0</v>
      </c>
    </row>
    <row r="41" spans="1:38" ht="12.75" customHeight="1">
      <c r="A41" s="152" t="s">
        <v>500</v>
      </c>
      <c r="B41" s="355" t="s">
        <v>326</v>
      </c>
      <c r="C41" s="938">
        <f t="shared" si="12"/>
        <v>0</v>
      </c>
      <c r="D41" s="939">
        <f t="shared" si="0"/>
        <v>0</v>
      </c>
      <c r="E41" s="940">
        <f t="shared" si="1"/>
        <v>0</v>
      </c>
      <c r="F41" s="940">
        <f t="shared" si="2"/>
        <v>0</v>
      </c>
      <c r="G41" s="941">
        <f t="shared" si="3"/>
        <v>0</v>
      </c>
      <c r="H41" s="940">
        <f t="shared" si="4"/>
        <v>0</v>
      </c>
      <c r="I41" s="941">
        <f t="shared" si="5"/>
        <v>0</v>
      </c>
      <c r="J41" s="940">
        <f t="shared" si="6"/>
        <v>0</v>
      </c>
      <c r="K41" s="941">
        <f t="shared" si="7"/>
        <v>0</v>
      </c>
      <c r="L41" s="424">
        <f t="shared" ref="L41:L49" si="17">F41+H41+J41</f>
        <v>0</v>
      </c>
      <c r="M41" s="425">
        <f t="shared" ref="M41:M49" si="18">G41+I41+K41</f>
        <v>0</v>
      </c>
      <c r="N41" s="867">
        <f t="shared" si="8"/>
        <v>0</v>
      </c>
      <c r="AA41" s="326"/>
      <c r="AB41" s="327"/>
      <c r="AC41" s="325"/>
      <c r="AD41" s="325"/>
      <c r="AE41" s="249"/>
      <c r="AF41" s="325"/>
      <c r="AG41" s="249"/>
      <c r="AH41" s="325"/>
      <c r="AI41" s="249"/>
      <c r="AJ41" s="424">
        <f t="shared" si="15"/>
        <v>0</v>
      </c>
      <c r="AK41" s="425">
        <f t="shared" si="16"/>
        <v>0</v>
      </c>
      <c r="AL41" s="867">
        <f t="shared" si="11"/>
        <v>0</v>
      </c>
    </row>
    <row r="42" spans="1:38" ht="12.75" customHeight="1">
      <c r="A42" s="152" t="s">
        <v>501</v>
      </c>
      <c r="B42" s="355" t="s">
        <v>387</v>
      </c>
      <c r="C42" s="938">
        <f t="shared" si="12"/>
        <v>0</v>
      </c>
      <c r="D42" s="939">
        <f t="shared" si="0"/>
        <v>0</v>
      </c>
      <c r="E42" s="940">
        <f t="shared" si="1"/>
        <v>0</v>
      </c>
      <c r="F42" s="940">
        <f t="shared" si="2"/>
        <v>0</v>
      </c>
      <c r="G42" s="941">
        <f t="shared" si="3"/>
        <v>0</v>
      </c>
      <c r="H42" s="940">
        <f t="shared" si="4"/>
        <v>0</v>
      </c>
      <c r="I42" s="941">
        <f t="shared" si="5"/>
        <v>0</v>
      </c>
      <c r="J42" s="940">
        <f t="shared" si="6"/>
        <v>0</v>
      </c>
      <c r="K42" s="941">
        <f t="shared" si="7"/>
        <v>0</v>
      </c>
      <c r="L42" s="424">
        <f t="shared" si="17"/>
        <v>0</v>
      </c>
      <c r="M42" s="425">
        <f t="shared" si="18"/>
        <v>0</v>
      </c>
      <c r="N42" s="867">
        <f t="shared" si="8"/>
        <v>0</v>
      </c>
      <c r="AA42" s="326"/>
      <c r="AB42" s="327"/>
      <c r="AC42" s="325"/>
      <c r="AD42" s="325"/>
      <c r="AE42" s="249"/>
      <c r="AF42" s="325"/>
      <c r="AG42" s="249"/>
      <c r="AH42" s="325"/>
      <c r="AI42" s="249"/>
      <c r="AJ42" s="424">
        <f t="shared" si="15"/>
        <v>0</v>
      </c>
      <c r="AK42" s="425">
        <f t="shared" si="16"/>
        <v>0</v>
      </c>
      <c r="AL42" s="867">
        <f t="shared" si="11"/>
        <v>0</v>
      </c>
    </row>
    <row r="43" spans="1:38" ht="12.75" customHeight="1">
      <c r="A43" s="152" t="s">
        <v>502</v>
      </c>
      <c r="B43" s="355" t="s">
        <v>388</v>
      </c>
      <c r="C43" s="938">
        <f t="shared" si="12"/>
        <v>0</v>
      </c>
      <c r="D43" s="939">
        <f t="shared" si="0"/>
        <v>0</v>
      </c>
      <c r="E43" s="940">
        <f t="shared" si="1"/>
        <v>0</v>
      </c>
      <c r="F43" s="940">
        <f t="shared" si="2"/>
        <v>0</v>
      </c>
      <c r="G43" s="941">
        <f t="shared" si="3"/>
        <v>0</v>
      </c>
      <c r="H43" s="940">
        <f t="shared" si="4"/>
        <v>0</v>
      </c>
      <c r="I43" s="941">
        <f t="shared" si="5"/>
        <v>0</v>
      </c>
      <c r="J43" s="940">
        <f t="shared" si="6"/>
        <v>0</v>
      </c>
      <c r="K43" s="941">
        <f t="shared" si="7"/>
        <v>0</v>
      </c>
      <c r="L43" s="424">
        <f t="shared" si="17"/>
        <v>0</v>
      </c>
      <c r="M43" s="425">
        <f t="shared" si="18"/>
        <v>0</v>
      </c>
      <c r="N43" s="867">
        <f t="shared" si="8"/>
        <v>0</v>
      </c>
      <c r="AA43" s="326"/>
      <c r="AB43" s="327"/>
      <c r="AC43" s="325"/>
      <c r="AD43" s="325"/>
      <c r="AE43" s="249"/>
      <c r="AF43" s="325"/>
      <c r="AG43" s="249"/>
      <c r="AH43" s="325"/>
      <c r="AI43" s="249"/>
      <c r="AJ43" s="424">
        <f t="shared" si="15"/>
        <v>0</v>
      </c>
      <c r="AK43" s="425">
        <f t="shared" si="16"/>
        <v>0</v>
      </c>
      <c r="AL43" s="867">
        <f t="shared" si="11"/>
        <v>0</v>
      </c>
    </row>
    <row r="44" spans="1:38" ht="12.75" customHeight="1">
      <c r="A44" s="152" t="s">
        <v>503</v>
      </c>
      <c r="B44" s="355" t="s">
        <v>389</v>
      </c>
      <c r="C44" s="938">
        <f t="shared" si="12"/>
        <v>0</v>
      </c>
      <c r="D44" s="939">
        <f t="shared" si="0"/>
        <v>0</v>
      </c>
      <c r="E44" s="940">
        <f t="shared" si="1"/>
        <v>0</v>
      </c>
      <c r="F44" s="940">
        <f t="shared" si="2"/>
        <v>0</v>
      </c>
      <c r="G44" s="941">
        <f t="shared" si="3"/>
        <v>0</v>
      </c>
      <c r="H44" s="940">
        <f t="shared" si="4"/>
        <v>0</v>
      </c>
      <c r="I44" s="941">
        <f t="shared" si="5"/>
        <v>0</v>
      </c>
      <c r="J44" s="940">
        <f t="shared" si="6"/>
        <v>0</v>
      </c>
      <c r="K44" s="941">
        <f t="shared" si="7"/>
        <v>0</v>
      </c>
      <c r="L44" s="424">
        <f t="shared" si="17"/>
        <v>0</v>
      </c>
      <c r="M44" s="425">
        <f t="shared" si="18"/>
        <v>0</v>
      </c>
      <c r="N44" s="867">
        <f t="shared" si="8"/>
        <v>0</v>
      </c>
      <c r="AA44" s="326"/>
      <c r="AB44" s="327"/>
      <c r="AC44" s="325"/>
      <c r="AD44" s="325"/>
      <c r="AE44" s="249"/>
      <c r="AF44" s="325"/>
      <c r="AG44" s="249"/>
      <c r="AH44" s="325"/>
      <c r="AI44" s="249"/>
      <c r="AJ44" s="424">
        <f t="shared" si="15"/>
        <v>0</v>
      </c>
      <c r="AK44" s="425">
        <f t="shared" si="16"/>
        <v>0</v>
      </c>
      <c r="AL44" s="867">
        <f t="shared" si="11"/>
        <v>0</v>
      </c>
    </row>
    <row r="45" spans="1:38" ht="12.75" customHeight="1">
      <c r="A45" s="152" t="s">
        <v>504</v>
      </c>
      <c r="B45" s="355" t="s">
        <v>390</v>
      </c>
      <c r="C45" s="938">
        <f t="shared" si="12"/>
        <v>0</v>
      </c>
      <c r="D45" s="939">
        <f t="shared" si="0"/>
        <v>0</v>
      </c>
      <c r="E45" s="940">
        <f t="shared" si="1"/>
        <v>0</v>
      </c>
      <c r="F45" s="940">
        <f t="shared" si="2"/>
        <v>0</v>
      </c>
      <c r="G45" s="941">
        <f t="shared" si="3"/>
        <v>0</v>
      </c>
      <c r="H45" s="940">
        <f t="shared" si="4"/>
        <v>0</v>
      </c>
      <c r="I45" s="941">
        <f t="shared" si="5"/>
        <v>0</v>
      </c>
      <c r="J45" s="940">
        <f t="shared" si="6"/>
        <v>0</v>
      </c>
      <c r="K45" s="941">
        <f t="shared" si="7"/>
        <v>0</v>
      </c>
      <c r="L45" s="424">
        <f t="shared" si="17"/>
        <v>0</v>
      </c>
      <c r="M45" s="425">
        <f t="shared" si="18"/>
        <v>0</v>
      </c>
      <c r="N45" s="867">
        <f t="shared" si="8"/>
        <v>0</v>
      </c>
      <c r="AA45" s="326"/>
      <c r="AB45" s="327"/>
      <c r="AC45" s="325"/>
      <c r="AD45" s="325"/>
      <c r="AE45" s="249"/>
      <c r="AF45" s="325"/>
      <c r="AG45" s="249"/>
      <c r="AH45" s="325"/>
      <c r="AI45" s="249"/>
      <c r="AJ45" s="424">
        <f t="shared" si="15"/>
        <v>0</v>
      </c>
      <c r="AK45" s="425">
        <f t="shared" si="16"/>
        <v>0</v>
      </c>
      <c r="AL45" s="867">
        <f t="shared" si="11"/>
        <v>0</v>
      </c>
    </row>
    <row r="46" spans="1:38" ht="12.75" customHeight="1">
      <c r="A46" s="152" t="s">
        <v>505</v>
      </c>
      <c r="B46" s="355" t="s">
        <v>391</v>
      </c>
      <c r="C46" s="938">
        <f t="shared" si="12"/>
        <v>0</v>
      </c>
      <c r="D46" s="939">
        <f t="shared" si="0"/>
        <v>0</v>
      </c>
      <c r="E46" s="940">
        <f t="shared" si="1"/>
        <v>0</v>
      </c>
      <c r="F46" s="940">
        <f t="shared" si="2"/>
        <v>0</v>
      </c>
      <c r="G46" s="941">
        <f t="shared" si="3"/>
        <v>0</v>
      </c>
      <c r="H46" s="940">
        <f t="shared" si="4"/>
        <v>0</v>
      </c>
      <c r="I46" s="941">
        <f t="shared" si="5"/>
        <v>0</v>
      </c>
      <c r="J46" s="940">
        <f t="shared" si="6"/>
        <v>0</v>
      </c>
      <c r="K46" s="941">
        <f t="shared" si="7"/>
        <v>0</v>
      </c>
      <c r="L46" s="424">
        <f t="shared" si="17"/>
        <v>0</v>
      </c>
      <c r="M46" s="425">
        <f t="shared" si="18"/>
        <v>0</v>
      </c>
      <c r="N46" s="867">
        <f t="shared" si="8"/>
        <v>0</v>
      </c>
      <c r="AA46" s="326"/>
      <c r="AB46" s="327"/>
      <c r="AC46" s="325"/>
      <c r="AD46" s="325"/>
      <c r="AE46" s="249"/>
      <c r="AF46" s="325"/>
      <c r="AG46" s="249"/>
      <c r="AH46" s="325"/>
      <c r="AI46" s="249"/>
      <c r="AJ46" s="424">
        <f t="shared" si="15"/>
        <v>0</v>
      </c>
      <c r="AK46" s="425">
        <f t="shared" si="16"/>
        <v>0</v>
      </c>
      <c r="AL46" s="867">
        <f t="shared" si="11"/>
        <v>0</v>
      </c>
    </row>
    <row r="47" spans="1:38" ht="12.75" customHeight="1">
      <c r="A47" s="152" t="s">
        <v>506</v>
      </c>
      <c r="B47" s="355" t="s">
        <v>392</v>
      </c>
      <c r="C47" s="938">
        <f t="shared" si="12"/>
        <v>0</v>
      </c>
      <c r="D47" s="939">
        <f t="shared" si="0"/>
        <v>0</v>
      </c>
      <c r="E47" s="940">
        <f t="shared" si="1"/>
        <v>0</v>
      </c>
      <c r="F47" s="940">
        <f t="shared" si="2"/>
        <v>0</v>
      </c>
      <c r="G47" s="941">
        <f t="shared" si="3"/>
        <v>0</v>
      </c>
      <c r="H47" s="940">
        <f t="shared" si="4"/>
        <v>0</v>
      </c>
      <c r="I47" s="941">
        <f t="shared" si="5"/>
        <v>0</v>
      </c>
      <c r="J47" s="940">
        <f t="shared" si="6"/>
        <v>0</v>
      </c>
      <c r="K47" s="941">
        <f t="shared" si="7"/>
        <v>0</v>
      </c>
      <c r="L47" s="424">
        <f t="shared" si="17"/>
        <v>0</v>
      </c>
      <c r="M47" s="425">
        <f t="shared" si="18"/>
        <v>0</v>
      </c>
      <c r="N47" s="867">
        <f t="shared" si="8"/>
        <v>0</v>
      </c>
      <c r="AA47" s="326"/>
      <c r="AB47" s="327"/>
      <c r="AC47" s="325"/>
      <c r="AD47" s="325"/>
      <c r="AE47" s="249"/>
      <c r="AF47" s="325"/>
      <c r="AG47" s="249"/>
      <c r="AH47" s="325"/>
      <c r="AI47" s="249"/>
      <c r="AJ47" s="424">
        <f t="shared" si="15"/>
        <v>0</v>
      </c>
      <c r="AK47" s="425">
        <f t="shared" si="16"/>
        <v>0</v>
      </c>
      <c r="AL47" s="867">
        <f t="shared" si="11"/>
        <v>0</v>
      </c>
    </row>
    <row r="48" spans="1:38" ht="12.75" customHeight="1">
      <c r="A48" s="152" t="s">
        <v>507</v>
      </c>
      <c r="B48" s="355" t="s">
        <v>327</v>
      </c>
      <c r="C48" s="938">
        <f t="shared" si="12"/>
        <v>0</v>
      </c>
      <c r="D48" s="939">
        <f t="shared" si="0"/>
        <v>0</v>
      </c>
      <c r="E48" s="940">
        <f t="shared" si="1"/>
        <v>0</v>
      </c>
      <c r="F48" s="940">
        <f t="shared" si="2"/>
        <v>0</v>
      </c>
      <c r="G48" s="941">
        <f t="shared" si="3"/>
        <v>0</v>
      </c>
      <c r="H48" s="940">
        <f t="shared" si="4"/>
        <v>0</v>
      </c>
      <c r="I48" s="941">
        <f t="shared" si="5"/>
        <v>0</v>
      </c>
      <c r="J48" s="940">
        <f t="shared" si="6"/>
        <v>0</v>
      </c>
      <c r="K48" s="941">
        <f t="shared" si="7"/>
        <v>0</v>
      </c>
      <c r="L48" s="424">
        <f>F48+H48+J48</f>
        <v>0</v>
      </c>
      <c r="M48" s="425">
        <f>G48+I48+K48</f>
        <v>0</v>
      </c>
      <c r="N48" s="867">
        <f t="shared" si="8"/>
        <v>0</v>
      </c>
      <c r="AA48" s="326"/>
      <c r="AB48" s="327"/>
      <c r="AC48" s="325"/>
      <c r="AD48" s="325"/>
      <c r="AE48" s="249"/>
      <c r="AF48" s="325"/>
      <c r="AG48" s="249"/>
      <c r="AH48" s="325"/>
      <c r="AI48" s="249"/>
      <c r="AJ48" s="424">
        <f>AD48+AF48+AH48</f>
        <v>0</v>
      </c>
      <c r="AK48" s="425">
        <f>AE48+AG48+AI48</f>
        <v>0</v>
      </c>
      <c r="AL48" s="867">
        <f t="shared" si="11"/>
        <v>0</v>
      </c>
    </row>
    <row r="49" spans="1:38" ht="12.75" customHeight="1" thickBot="1">
      <c r="A49" s="152" t="s">
        <v>666</v>
      </c>
      <c r="B49" s="355" t="s">
        <v>393</v>
      </c>
      <c r="C49" s="938">
        <f t="shared" si="12"/>
        <v>0</v>
      </c>
      <c r="D49" s="939">
        <f t="shared" si="0"/>
        <v>0</v>
      </c>
      <c r="E49" s="940">
        <f t="shared" si="1"/>
        <v>0</v>
      </c>
      <c r="F49" s="940">
        <f t="shared" si="2"/>
        <v>0</v>
      </c>
      <c r="G49" s="941">
        <f t="shared" si="3"/>
        <v>0</v>
      </c>
      <c r="H49" s="940">
        <f t="shared" si="4"/>
        <v>0</v>
      </c>
      <c r="I49" s="941">
        <f t="shared" si="5"/>
        <v>0</v>
      </c>
      <c r="J49" s="940">
        <f t="shared" si="6"/>
        <v>0</v>
      </c>
      <c r="K49" s="941">
        <f t="shared" si="7"/>
        <v>0</v>
      </c>
      <c r="L49" s="424">
        <f t="shared" si="17"/>
        <v>0</v>
      </c>
      <c r="M49" s="425">
        <f t="shared" si="18"/>
        <v>0</v>
      </c>
      <c r="N49" s="867">
        <f t="shared" si="8"/>
        <v>0</v>
      </c>
      <c r="AA49" s="326"/>
      <c r="AB49" s="327"/>
      <c r="AC49" s="325"/>
      <c r="AD49" s="325"/>
      <c r="AE49" s="249"/>
      <c r="AF49" s="325"/>
      <c r="AG49" s="249"/>
      <c r="AH49" s="325"/>
      <c r="AI49" s="249"/>
      <c r="AJ49" s="424">
        <f>AD49+AF49+AH49</f>
        <v>0</v>
      </c>
      <c r="AK49" s="425">
        <f>AE49+AG49+AI49</f>
        <v>0</v>
      </c>
      <c r="AL49" s="867">
        <f t="shared" si="11"/>
        <v>0</v>
      </c>
    </row>
    <row r="50" spans="1:38" ht="15.75" customHeight="1" thickTop="1" thickBot="1">
      <c r="A50" s="296" t="s">
        <v>107</v>
      </c>
      <c r="B50" s="16"/>
      <c r="C50" s="426">
        <f t="shared" ref="C50:M50" si="19">SUM(C6:C49)</f>
        <v>0</v>
      </c>
      <c r="D50" s="427">
        <f t="shared" si="19"/>
        <v>4</v>
      </c>
      <c r="E50" s="426">
        <f t="shared" si="19"/>
        <v>0</v>
      </c>
      <c r="F50" s="426">
        <f t="shared" si="19"/>
        <v>1</v>
      </c>
      <c r="G50" s="427">
        <f t="shared" si="19"/>
        <v>2</v>
      </c>
      <c r="H50" s="426">
        <f t="shared" si="19"/>
        <v>0</v>
      </c>
      <c r="I50" s="427">
        <f t="shared" si="19"/>
        <v>0</v>
      </c>
      <c r="J50" s="426">
        <f t="shared" si="19"/>
        <v>0</v>
      </c>
      <c r="K50" s="427">
        <f t="shared" si="19"/>
        <v>1</v>
      </c>
      <c r="L50" s="426">
        <f t="shared" si="19"/>
        <v>1</v>
      </c>
      <c r="M50" s="428">
        <f t="shared" si="19"/>
        <v>3</v>
      </c>
      <c r="AA50" s="426">
        <f t="shared" ref="AA50:AK50" si="20">SUM(AA6:AA49)</f>
        <v>0</v>
      </c>
      <c r="AB50" s="427">
        <f t="shared" si="20"/>
        <v>4</v>
      </c>
      <c r="AC50" s="426">
        <f t="shared" si="20"/>
        <v>0</v>
      </c>
      <c r="AD50" s="426">
        <f t="shared" si="20"/>
        <v>1</v>
      </c>
      <c r="AE50" s="427">
        <f t="shared" si="20"/>
        <v>2</v>
      </c>
      <c r="AF50" s="426">
        <f t="shared" si="20"/>
        <v>0</v>
      </c>
      <c r="AG50" s="427">
        <f t="shared" si="20"/>
        <v>0</v>
      </c>
      <c r="AH50" s="426">
        <f t="shared" si="20"/>
        <v>0</v>
      </c>
      <c r="AI50" s="427">
        <f t="shared" si="20"/>
        <v>1</v>
      </c>
      <c r="AJ50" s="426">
        <f t="shared" si="20"/>
        <v>1</v>
      </c>
      <c r="AK50" s="428">
        <f t="shared" si="20"/>
        <v>3</v>
      </c>
    </row>
    <row r="51" spans="1:38" ht="15.75" customHeight="1" thickBot="1">
      <c r="A51" s="880" t="str">
        <f>IF(A200="","    ATTENZIONE: IL CAMPO NOTE E' OBBLIGATORIO","")</f>
        <v/>
      </c>
      <c r="B51" s="759"/>
      <c r="C51" s="760"/>
      <c r="D51" s="760"/>
      <c r="E51" s="760"/>
      <c r="F51" s="760"/>
      <c r="G51" s="760"/>
      <c r="H51" s="760"/>
      <c r="I51" s="760"/>
      <c r="J51" s="760"/>
      <c r="K51" s="760"/>
      <c r="L51" s="760"/>
      <c r="M51" s="760"/>
      <c r="AA51" s="760"/>
      <c r="AB51" s="760"/>
      <c r="AC51" s="760"/>
      <c r="AD51" s="760"/>
      <c r="AE51" s="760"/>
      <c r="AF51" s="760"/>
      <c r="AG51" s="760"/>
      <c r="AH51" s="760"/>
      <c r="AI51" s="760"/>
      <c r="AJ51" s="760"/>
      <c r="AK51" s="760"/>
    </row>
    <row r="52" spans="1:38" ht="11.25" hidden="1" customHeight="1">
      <c r="A52" s="25"/>
    </row>
    <row r="53" spans="1:38" ht="11.25" hidden="1" customHeight="1">
      <c r="A53" s="25"/>
    </row>
    <row r="54" spans="1:38" ht="11.25" hidden="1" customHeight="1">
      <c r="A54" s="25"/>
    </row>
    <row r="55" spans="1:38" ht="11.25" hidden="1" customHeight="1">
      <c r="A55" s="25"/>
    </row>
    <row r="56" spans="1:38" ht="11.25" hidden="1" customHeight="1">
      <c r="A56" s="341"/>
    </row>
    <row r="57" spans="1:38" ht="11.25" hidden="1" customHeight="1"/>
    <row r="58" spans="1:38" ht="10.8" hidden="1" thickBot="1"/>
    <row r="59" spans="1:38" ht="10.8" hidden="1" thickBot="1"/>
    <row r="60" spans="1:38" ht="10.8" hidden="1" thickBot="1"/>
    <row r="61" spans="1:38" ht="10.8" hidden="1" thickBot="1"/>
    <row r="62" spans="1:38" ht="10.8" hidden="1" thickBot="1"/>
    <row r="63" spans="1:38" ht="10.8" hidden="1" thickBot="1"/>
    <row r="64" spans="1:38" ht="10.8" hidden="1" thickBot="1"/>
    <row r="65" ht="10.8" hidden="1" thickBot="1"/>
    <row r="66" ht="10.8" hidden="1" thickBot="1"/>
    <row r="67" ht="10.8" hidden="1" thickBot="1"/>
    <row r="68" ht="10.8" hidden="1" thickBot="1"/>
    <row r="69" ht="10.8" hidden="1" thickBot="1"/>
    <row r="70" ht="10.8" hidden="1" thickBot="1"/>
    <row r="71" ht="10.8" hidden="1" thickBot="1"/>
    <row r="72" ht="10.8" hidden="1" thickBot="1"/>
    <row r="73" ht="10.8" hidden="1" thickBot="1"/>
    <row r="74" ht="10.8" hidden="1" thickBot="1"/>
    <row r="75" ht="10.8" hidden="1" thickBot="1"/>
    <row r="76" ht="10.8" hidden="1" thickBot="1"/>
    <row r="77" ht="10.8" hidden="1" thickBot="1"/>
    <row r="78" ht="10.8" hidden="1" thickBot="1"/>
    <row r="79" ht="10.8" hidden="1" thickBot="1"/>
    <row r="80" ht="10.8" hidden="1" thickBot="1"/>
    <row r="81" ht="10.8" hidden="1" thickBot="1"/>
    <row r="82" ht="10.8" hidden="1" thickBot="1"/>
    <row r="83" ht="10.8" hidden="1" thickBot="1"/>
    <row r="84" ht="10.8" hidden="1" thickBot="1"/>
    <row r="85" ht="10.8" hidden="1" thickBot="1"/>
    <row r="86" ht="10.8" hidden="1" thickBot="1"/>
    <row r="87" ht="10.8" hidden="1" thickBot="1"/>
    <row r="88" ht="10.8" hidden="1" thickBot="1"/>
    <row r="89" ht="10.8" hidden="1" thickBot="1"/>
    <row r="90" ht="10.8" hidden="1" thickBot="1"/>
    <row r="91" ht="10.8" hidden="1" thickBot="1"/>
    <row r="92" ht="10.8" hidden="1" thickBot="1"/>
    <row r="93" ht="10.8" hidden="1" thickBot="1"/>
    <row r="94" ht="10.8" hidden="1" thickBot="1"/>
    <row r="95" ht="10.8" hidden="1" thickBot="1"/>
    <row r="96" ht="10.8" hidden="1" thickBot="1"/>
    <row r="97" ht="10.8" hidden="1" thickBot="1"/>
    <row r="98" ht="10.8" hidden="1" thickBot="1"/>
    <row r="99" ht="10.8" hidden="1" thickBot="1"/>
    <row r="100" ht="10.8" hidden="1" thickBot="1"/>
    <row r="101" ht="10.8" hidden="1" thickBot="1"/>
    <row r="102" ht="10.8" hidden="1" thickBot="1"/>
    <row r="103" ht="10.8" hidden="1" thickBot="1"/>
    <row r="104" ht="10.8" hidden="1" thickBot="1"/>
    <row r="105" ht="10.8" hidden="1" thickBot="1"/>
    <row r="106" ht="10.8" hidden="1" thickBot="1"/>
    <row r="107" ht="10.8" hidden="1" thickBot="1"/>
    <row r="108" ht="10.8" hidden="1" thickBot="1"/>
    <row r="109" ht="10.8" hidden="1" thickBot="1"/>
    <row r="110" ht="10.8" hidden="1" thickBot="1"/>
    <row r="111" ht="10.8" hidden="1" thickBot="1"/>
    <row r="112" ht="10.8" hidden="1" thickBot="1"/>
    <row r="113" ht="10.8" hidden="1" thickBot="1"/>
    <row r="114" ht="10.8" hidden="1" thickBot="1"/>
    <row r="115" ht="10.8" hidden="1" thickBot="1"/>
    <row r="116" ht="10.8" hidden="1" thickBot="1"/>
    <row r="117" ht="10.8" hidden="1" thickBot="1"/>
    <row r="118" ht="10.8" hidden="1" thickBot="1"/>
    <row r="119" ht="10.8" hidden="1" thickBot="1"/>
    <row r="120" ht="10.8" hidden="1" thickBot="1"/>
    <row r="121" ht="10.8" hidden="1" thickBot="1"/>
    <row r="122" ht="10.8" hidden="1" thickBot="1"/>
    <row r="123" ht="10.8" hidden="1" thickBot="1"/>
    <row r="124" ht="10.8" hidden="1" thickBot="1"/>
    <row r="125" ht="10.8" hidden="1" thickBot="1"/>
    <row r="126" ht="10.8" hidden="1" thickBot="1"/>
    <row r="127" ht="10.8" hidden="1" thickBot="1"/>
    <row r="128" ht="10.8" hidden="1" thickBot="1"/>
    <row r="129" ht="10.8" hidden="1" thickBot="1"/>
    <row r="130" ht="10.8" hidden="1" thickBot="1"/>
    <row r="131" ht="10.8" hidden="1" thickBot="1"/>
    <row r="132" ht="10.8" hidden="1" thickBot="1"/>
    <row r="133" ht="10.8" hidden="1" thickBot="1"/>
    <row r="134" ht="10.8" hidden="1" thickBot="1"/>
    <row r="135" ht="10.8" hidden="1" thickBot="1"/>
    <row r="136" ht="10.8" hidden="1" thickBot="1"/>
    <row r="137" ht="10.8" hidden="1" thickBot="1"/>
    <row r="138" ht="10.8" hidden="1" thickBot="1"/>
    <row r="139" ht="10.8" hidden="1" thickBot="1"/>
    <row r="140" ht="10.8" hidden="1" thickBot="1"/>
    <row r="141" ht="10.8" hidden="1" thickBot="1"/>
    <row r="142" ht="10.8" hidden="1" thickBot="1"/>
    <row r="143" ht="10.8" hidden="1" thickBot="1"/>
    <row r="144" ht="10.8" hidden="1" thickBot="1"/>
    <row r="145" ht="10.8" hidden="1" thickBot="1"/>
    <row r="146" ht="10.8" hidden="1" thickBot="1"/>
    <row r="147" ht="10.8" hidden="1" thickBot="1"/>
    <row r="148" ht="10.8" hidden="1" thickBot="1"/>
    <row r="149" ht="10.8" hidden="1" thickBot="1"/>
    <row r="150" ht="10.8" hidden="1" thickBot="1"/>
    <row r="151" ht="10.8" hidden="1" thickBot="1"/>
    <row r="152" ht="10.8" hidden="1" thickBot="1"/>
    <row r="153" ht="10.8" hidden="1" thickBot="1"/>
    <row r="154" ht="10.8" hidden="1" thickBot="1"/>
    <row r="155" ht="10.8" hidden="1" thickBot="1"/>
    <row r="156" ht="10.8" hidden="1" thickBot="1"/>
    <row r="157" ht="10.8" hidden="1" thickBot="1"/>
    <row r="158" ht="10.8" hidden="1" thickBot="1"/>
    <row r="159" ht="10.8" hidden="1" thickBot="1"/>
    <row r="160" ht="10.8" hidden="1" thickBot="1"/>
    <row r="161" ht="10.8" hidden="1" thickBot="1"/>
    <row r="162" ht="10.8" hidden="1" thickBot="1"/>
    <row r="163" ht="10.8" hidden="1" thickBot="1"/>
    <row r="164" ht="10.8" hidden="1" thickBot="1"/>
    <row r="165" ht="10.8" hidden="1" thickBot="1"/>
    <row r="166" ht="10.8" hidden="1" thickBot="1"/>
    <row r="167" ht="10.8" hidden="1" thickBot="1"/>
    <row r="168" ht="10.8" hidden="1" thickBot="1"/>
    <row r="169" ht="10.8" hidden="1" thickBot="1"/>
    <row r="170" ht="10.8" hidden="1" thickBot="1"/>
    <row r="171" ht="10.8" hidden="1" thickBot="1"/>
    <row r="172" ht="10.8" hidden="1" thickBot="1"/>
    <row r="173" ht="10.8" hidden="1" thickBot="1"/>
    <row r="174" ht="10.8" hidden="1" thickBot="1"/>
    <row r="175" ht="10.8" hidden="1" thickBot="1"/>
    <row r="176" ht="10.8" hidden="1" thickBot="1"/>
    <row r="177" ht="10.8" hidden="1" thickBot="1"/>
    <row r="178" ht="10.8" hidden="1" thickBot="1"/>
    <row r="179" ht="10.8" hidden="1" thickBot="1"/>
    <row r="180" ht="10.8" hidden="1" thickBot="1"/>
    <row r="181" ht="10.8" hidden="1" thickBot="1"/>
    <row r="182" ht="10.8" hidden="1" thickBot="1"/>
    <row r="183" ht="10.8" hidden="1" thickBot="1"/>
    <row r="184" ht="10.8" hidden="1" thickBot="1"/>
    <row r="185" ht="10.8" hidden="1" thickBot="1"/>
    <row r="186" ht="10.8" hidden="1" thickBot="1"/>
    <row r="187" ht="10.8" hidden="1" thickBot="1"/>
    <row r="188" ht="10.8" hidden="1" thickBot="1"/>
    <row r="189" ht="10.8" hidden="1" thickBot="1"/>
    <row r="190" ht="10.8" hidden="1" thickBot="1"/>
    <row r="191" ht="10.8" hidden="1" thickBot="1"/>
    <row r="192" ht="10.8" hidden="1" thickBot="1"/>
    <row r="193" spans="1:37" ht="10.8" hidden="1" thickBot="1"/>
    <row r="194" spans="1:37" ht="10.8" hidden="1" thickBot="1"/>
    <row r="195" spans="1:37" ht="10.8" hidden="1" thickBot="1"/>
    <row r="196" spans="1:37" ht="10.8" hidden="1" thickBot="1"/>
    <row r="197" spans="1:37" ht="10.8" hidden="1" thickBot="1"/>
    <row r="198" spans="1:37" ht="10.8" hidden="1" thickBot="1"/>
    <row r="199" spans="1:37" ht="15.75" customHeight="1">
      <c r="A199" s="943" t="str">
        <f>"NOTE: Indicare il provvedimento di riferimento della dotazione organica in vigore al 31 dicembre "&amp;$M$1</f>
        <v>NOTE: Indicare il provvedimento di riferimento della dotazione organica in vigore al 31 dicembre 2017</v>
      </c>
      <c r="B199" s="946"/>
      <c r="C199" s="944"/>
      <c r="D199" s="944"/>
      <c r="E199" s="944"/>
      <c r="F199" s="944"/>
      <c r="G199" s="944"/>
      <c r="H199" s="944"/>
      <c r="I199" s="944"/>
      <c r="J199" s="944"/>
      <c r="K199" s="944"/>
      <c r="L199" s="944"/>
      <c r="M199" s="945"/>
      <c r="N199" s="947"/>
      <c r="O199" s="947"/>
      <c r="P199" s="947"/>
      <c r="Q199" s="947"/>
      <c r="R199" s="947"/>
      <c r="S199" s="947"/>
      <c r="T199" s="947"/>
      <c r="U199" s="947"/>
      <c r="V199" s="947"/>
      <c r="W199" s="947"/>
      <c r="X199" s="947"/>
      <c r="Y199" s="947"/>
      <c r="Z199" s="947"/>
      <c r="AA199" s="947"/>
      <c r="AB199" s="947"/>
      <c r="AC199" s="947"/>
      <c r="AD199" s="947"/>
      <c r="AE199" s="947"/>
      <c r="AF199" s="947"/>
      <c r="AG199" s="947"/>
      <c r="AH199" s="947"/>
      <c r="AI199" s="947"/>
      <c r="AJ199" s="947"/>
      <c r="AK199" s="948"/>
    </row>
    <row r="200" spans="1:37" ht="45" customHeight="1" thickBot="1">
      <c r="A200" s="1410" t="s">
        <v>1123</v>
      </c>
      <c r="B200" s="1411"/>
      <c r="C200" s="1411"/>
      <c r="D200" s="1411"/>
      <c r="E200" s="1411"/>
      <c r="F200" s="1411"/>
      <c r="G200" s="1411"/>
      <c r="H200" s="1411"/>
      <c r="I200" s="1411"/>
      <c r="J200" s="1411"/>
      <c r="K200" s="1411"/>
      <c r="L200" s="1411"/>
      <c r="M200" s="1411"/>
      <c r="N200" s="1411"/>
      <c r="O200" s="1411"/>
      <c r="P200" s="1411"/>
      <c r="Q200" s="1411"/>
      <c r="R200" s="1411"/>
      <c r="S200" s="1411"/>
      <c r="T200" s="1411"/>
      <c r="U200" s="1411"/>
      <c r="V200" s="1411"/>
      <c r="W200" s="1411"/>
      <c r="X200" s="1411"/>
      <c r="Y200" s="1411"/>
      <c r="Z200" s="1411"/>
      <c r="AA200" s="1411"/>
      <c r="AB200" s="1411"/>
      <c r="AC200" s="1411"/>
      <c r="AD200" s="1411"/>
      <c r="AE200" s="1411"/>
      <c r="AF200" s="1411"/>
      <c r="AG200" s="1411"/>
      <c r="AH200" s="1411"/>
      <c r="AI200" s="1411"/>
      <c r="AJ200" s="1411"/>
      <c r="AK200" s="1412"/>
    </row>
    <row r="201" spans="1:37" ht="18.75" customHeight="1">
      <c r="A201" s="25" t="s">
        <v>215</v>
      </c>
    </row>
    <row r="202" spans="1:37">
      <c r="A202" s="25" t="s">
        <v>722</v>
      </c>
    </row>
    <row r="203" spans="1:37">
      <c r="A203" s="341" t="str">
        <f>"(*) inserire i dati comunicati nella tab.1 (colonna presenti al 31/12/"&amp;M1-1&amp;") della rilevazione dell'anno precedente"</f>
        <v>(*) inserire i dati comunicati nella tab.1 (colonna presenti al 31/12/2016) della rilevazione dell'anno precedente</v>
      </c>
    </row>
    <row r="204" spans="1:37">
      <c r="A204" s="5" t="s">
        <v>187</v>
      </c>
    </row>
    <row r="205" spans="1:37" ht="13.2">
      <c r="D205" s="771" t="str">
        <f>IF(LEN(A200)&gt;250,"ATTENZIONE: Il numero massimo di caratteri consentiti nel campo note è 250","")</f>
        <v/>
      </c>
      <c r="AB205" s="771" t="str">
        <f>IF(LEN(Y200)&gt;250,"ATTENZIONE: Il numero massimo di caratteri consentiti nel campo note è 250","")</f>
        <v/>
      </c>
    </row>
  </sheetData>
  <sheetProtection password="EA98" sheet="1" formatColumns="0" selectLockedCells="1"/>
  <mergeCells count="7">
    <mergeCell ref="AF2:AK2"/>
    <mergeCell ref="AA3:AK3"/>
    <mergeCell ref="A200:AK200"/>
    <mergeCell ref="C3:M3"/>
    <mergeCell ref="A4:A5"/>
    <mergeCell ref="B4:B5"/>
    <mergeCell ref="H2:M2"/>
  </mergeCells>
  <phoneticPr fontId="30" type="noConversion"/>
  <conditionalFormatting sqref="A6:M49">
    <cfRule type="expression" dxfId="16" priority="2" stopIfTrue="1">
      <formula>$N6&gt;0</formula>
    </cfRule>
  </conditionalFormatting>
  <conditionalFormatting sqref="AA6:AK49">
    <cfRule type="expression" dxfId="15" priority="1" stopIfTrue="1">
      <formula>$N6&gt;0</formula>
    </cfRule>
  </conditionalFormatting>
  <dataValidations count="1">
    <dataValidation type="whole" allowBlank="1" showInputMessage="1" showErrorMessage="1" errorTitle="ERRORE NEL DATO IMMESSO" error="INSERIRE SOLO NUMERI INTERI" sqref="AD6:AI49 F6:K49">
      <formula1>0</formula1>
      <formula2>999999999999</formula2>
    </dataValidation>
  </dataValidations>
  <printOptions horizontalCentered="1" verticalCentered="1"/>
  <pageMargins left="0" right="0" top="0.17" bottom="0.16" header="0.18" footer="0.2"/>
  <pageSetup paperSize="9" scale="75" orientation="landscape" horizontalDpi="300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9"/>
  <dimension ref="A1:AN14"/>
  <sheetViews>
    <sheetView showGridLines="0" zoomScaleNormal="100" workbookViewId="0">
      <selection activeCell="AA6" sqref="AA6"/>
    </sheetView>
  </sheetViews>
  <sheetFormatPr defaultColWidth="9.28515625" defaultRowHeight="10.199999999999999"/>
  <cols>
    <col min="1" max="1" width="33" style="5" customWidth="1"/>
    <col min="2" max="2" width="13.28515625" style="7" hidden="1" customWidth="1"/>
    <col min="3" max="8" width="11.140625" style="5" hidden="1" customWidth="1"/>
    <col min="9" max="16" width="10.85546875" style="5" hidden="1" customWidth="1"/>
    <col min="17" max="26" width="9.28515625" style="5" hidden="1" customWidth="1"/>
    <col min="27" max="32" width="11.140625" style="5" customWidth="1"/>
    <col min="33" max="40" width="10.85546875" style="5" customWidth="1"/>
    <col min="41" max="41" width="9.28515625" style="5" customWidth="1"/>
    <col min="42" max="16384" width="9.28515625" style="5"/>
  </cols>
  <sheetData>
    <row r="1" spans="1:40" ht="43.5" customHeight="1">
      <c r="A1" s="942" t="str">
        <f>'t1'!A1</f>
        <v>COMPARTO REGIONI ED AUTONOMIE LOCALI - anno 2017</v>
      </c>
      <c r="B1" s="942"/>
      <c r="C1" s="942"/>
      <c r="D1" s="942"/>
      <c r="E1" s="942"/>
      <c r="F1" s="942"/>
      <c r="G1" s="942"/>
      <c r="H1" s="942"/>
      <c r="I1" s="942"/>
      <c r="J1" s="942"/>
      <c r="K1" s="3"/>
      <c r="L1" s="311"/>
      <c r="M1"/>
      <c r="AI1" s="3"/>
      <c r="AJ1" s="311"/>
      <c r="AK1"/>
    </row>
    <row r="2" spans="1:40" ht="30" customHeight="1" thickBot="1">
      <c r="A2" s="6"/>
      <c r="G2" s="1417"/>
      <c r="H2" s="1417"/>
      <c r="I2" s="1417"/>
      <c r="J2" s="1417"/>
      <c r="K2" s="1417"/>
      <c r="L2" s="1417"/>
      <c r="AE2" s="1417"/>
      <c r="AF2" s="1417"/>
      <c r="AG2" s="1417"/>
      <c r="AH2" s="1417"/>
      <c r="AI2" s="1417"/>
      <c r="AJ2" s="1417"/>
    </row>
    <row r="3" spans="1:40" ht="24.75" customHeight="1" thickBot="1">
      <c r="A3" s="12"/>
      <c r="B3" s="13"/>
      <c r="C3" s="105" t="s">
        <v>286</v>
      </c>
      <c r="D3" s="14"/>
      <c r="E3" s="14"/>
      <c r="F3" s="14"/>
      <c r="G3" s="734"/>
      <c r="H3" s="734"/>
      <c r="I3" s="734"/>
      <c r="J3" s="734"/>
      <c r="K3" s="734"/>
      <c r="L3" s="735"/>
      <c r="M3" s="270"/>
      <c r="N3" s="270"/>
      <c r="O3" s="270"/>
      <c r="P3" s="271"/>
      <c r="AA3" s="105" t="s">
        <v>286</v>
      </c>
      <c r="AB3" s="14"/>
      <c r="AC3" s="14"/>
      <c r="AD3" s="14"/>
      <c r="AE3" s="734"/>
      <c r="AF3" s="734"/>
      <c r="AG3" s="734"/>
      <c r="AH3" s="734"/>
      <c r="AI3" s="734"/>
      <c r="AJ3" s="735"/>
      <c r="AK3" s="270"/>
      <c r="AL3" s="270"/>
      <c r="AM3" s="270"/>
      <c r="AN3" s="271"/>
    </row>
    <row r="4" spans="1:40" ht="52.5" customHeight="1" thickTop="1">
      <c r="A4" s="107" t="s">
        <v>136</v>
      </c>
      <c r="B4" s="108" t="s">
        <v>103</v>
      </c>
      <c r="C4" s="20" t="s">
        <v>166</v>
      </c>
      <c r="D4" s="109"/>
      <c r="E4" s="20" t="s">
        <v>167</v>
      </c>
      <c r="F4" s="109"/>
      <c r="G4" s="20" t="s">
        <v>80</v>
      </c>
      <c r="H4" s="109"/>
      <c r="I4" s="20" t="s">
        <v>168</v>
      </c>
      <c r="J4" s="109"/>
      <c r="K4" s="1421" t="s">
        <v>1052</v>
      </c>
      <c r="L4" s="1422"/>
      <c r="M4" s="1418" t="s">
        <v>0</v>
      </c>
      <c r="N4" s="1420"/>
      <c r="O4" s="1418" t="s">
        <v>1</v>
      </c>
      <c r="P4" s="1419"/>
      <c r="AA4" s="20" t="s">
        <v>166</v>
      </c>
      <c r="AB4" s="109"/>
      <c r="AC4" s="20" t="s">
        <v>167</v>
      </c>
      <c r="AD4" s="109"/>
      <c r="AE4" s="20" t="s">
        <v>80</v>
      </c>
      <c r="AF4" s="109"/>
      <c r="AG4" s="20" t="s">
        <v>168</v>
      </c>
      <c r="AH4" s="109"/>
      <c r="AI4" s="1421" t="s">
        <v>1052</v>
      </c>
      <c r="AJ4" s="1422"/>
      <c r="AK4" s="1418" t="s">
        <v>0</v>
      </c>
      <c r="AL4" s="1420"/>
      <c r="AM4" s="1418" t="s">
        <v>1</v>
      </c>
      <c r="AN4" s="1419"/>
    </row>
    <row r="5" spans="1:40" ht="20.25" customHeight="1" thickBot="1">
      <c r="A5" s="15"/>
      <c r="B5" s="19"/>
      <c r="C5" s="511" t="s">
        <v>105</v>
      </c>
      <c r="D5" s="512" t="s">
        <v>106</v>
      </c>
      <c r="E5" s="511" t="s">
        <v>105</v>
      </c>
      <c r="F5" s="512" t="s">
        <v>106</v>
      </c>
      <c r="G5" s="511" t="s">
        <v>105</v>
      </c>
      <c r="H5" s="512" t="s">
        <v>106</v>
      </c>
      <c r="I5" s="511" t="s">
        <v>105</v>
      </c>
      <c r="J5" s="512" t="s">
        <v>106</v>
      </c>
      <c r="K5" s="511" t="s">
        <v>105</v>
      </c>
      <c r="L5" s="513" t="s">
        <v>106</v>
      </c>
      <c r="M5" s="511" t="s">
        <v>105</v>
      </c>
      <c r="N5" s="513" t="s">
        <v>106</v>
      </c>
      <c r="O5" s="511" t="s">
        <v>105</v>
      </c>
      <c r="P5" s="513" t="s">
        <v>106</v>
      </c>
      <c r="AA5" s="511" t="s">
        <v>105</v>
      </c>
      <c r="AB5" s="512" t="s">
        <v>106</v>
      </c>
      <c r="AC5" s="511" t="s">
        <v>105</v>
      </c>
      <c r="AD5" s="512" t="s">
        <v>106</v>
      </c>
      <c r="AE5" s="511" t="s">
        <v>105</v>
      </c>
      <c r="AF5" s="512" t="s">
        <v>106</v>
      </c>
      <c r="AG5" s="511" t="s">
        <v>105</v>
      </c>
      <c r="AH5" s="512" t="s">
        <v>106</v>
      </c>
      <c r="AI5" s="511" t="s">
        <v>105</v>
      </c>
      <c r="AJ5" s="513" t="s">
        <v>106</v>
      </c>
      <c r="AK5" s="511" t="s">
        <v>105</v>
      </c>
      <c r="AL5" s="513" t="s">
        <v>106</v>
      </c>
      <c r="AM5" s="511" t="s">
        <v>105</v>
      </c>
      <c r="AN5" s="513" t="s">
        <v>106</v>
      </c>
    </row>
    <row r="6" spans="1:40" ht="20.25" customHeight="1" thickTop="1">
      <c r="A6" s="477" t="s">
        <v>328</v>
      </c>
      <c r="B6" s="478" t="s">
        <v>329</v>
      </c>
      <c r="C6" s="514">
        <f t="shared" ref="C6:I10" si="0">ROUND(AA6,2)</f>
        <v>0</v>
      </c>
      <c r="D6" s="508">
        <f t="shared" si="0"/>
        <v>0</v>
      </c>
      <c r="E6" s="514">
        <f t="shared" si="0"/>
        <v>0</v>
      </c>
      <c r="F6" s="508">
        <f t="shared" si="0"/>
        <v>0</v>
      </c>
      <c r="G6" s="514">
        <f t="shared" si="0"/>
        <v>0</v>
      </c>
      <c r="H6" s="508">
        <f t="shared" si="0"/>
        <v>0</v>
      </c>
      <c r="I6" s="514">
        <f t="shared" si="0"/>
        <v>0</v>
      </c>
      <c r="J6" s="508">
        <f>ROUND(AH6,2)</f>
        <v>0</v>
      </c>
      <c r="K6" s="968">
        <f t="shared" ref="K6:P10" si="1">ROUND(AI6,0)</f>
        <v>0</v>
      </c>
      <c r="L6" s="969">
        <f t="shared" si="1"/>
        <v>0</v>
      </c>
      <c r="M6" s="968">
        <f t="shared" si="1"/>
        <v>0</v>
      </c>
      <c r="N6" s="969">
        <f t="shared" si="1"/>
        <v>0</v>
      </c>
      <c r="O6" s="968">
        <f t="shared" si="1"/>
        <v>0</v>
      </c>
      <c r="P6" s="969">
        <f t="shared" si="1"/>
        <v>0</v>
      </c>
      <c r="AA6" s="514"/>
      <c r="AB6" s="508"/>
      <c r="AC6" s="514"/>
      <c r="AD6" s="508"/>
      <c r="AE6" s="514"/>
      <c r="AF6" s="508"/>
      <c r="AG6" s="514"/>
      <c r="AH6" s="508"/>
      <c r="AI6" s="514"/>
      <c r="AJ6" s="509"/>
      <c r="AK6" s="514"/>
      <c r="AL6" s="509"/>
      <c r="AM6" s="514"/>
      <c r="AN6" s="509"/>
    </row>
    <row r="7" spans="1:40" ht="20.25" customHeight="1">
      <c r="A7" s="477" t="s">
        <v>330</v>
      </c>
      <c r="B7" s="479" t="s">
        <v>331</v>
      </c>
      <c r="C7" s="504">
        <f t="shared" si="0"/>
        <v>0</v>
      </c>
      <c r="D7" s="505">
        <f t="shared" si="0"/>
        <v>0</v>
      </c>
      <c r="E7" s="504">
        <f t="shared" si="0"/>
        <v>0</v>
      </c>
      <c r="F7" s="505">
        <f t="shared" si="0"/>
        <v>0</v>
      </c>
      <c r="G7" s="504">
        <f t="shared" si="0"/>
        <v>0</v>
      </c>
      <c r="H7" s="505">
        <f t="shared" si="0"/>
        <v>0</v>
      </c>
      <c r="I7" s="504">
        <f t="shared" si="0"/>
        <v>0</v>
      </c>
      <c r="J7" s="505">
        <f>ROUND(AH7,2)</f>
        <v>0</v>
      </c>
      <c r="K7" s="970">
        <f t="shared" si="1"/>
        <v>0</v>
      </c>
      <c r="L7" s="971">
        <f t="shared" si="1"/>
        <v>0</v>
      </c>
      <c r="M7" s="970">
        <f t="shared" si="1"/>
        <v>0</v>
      </c>
      <c r="N7" s="971">
        <f t="shared" si="1"/>
        <v>0</v>
      </c>
      <c r="O7" s="970">
        <f t="shared" si="1"/>
        <v>0</v>
      </c>
      <c r="P7" s="971">
        <f t="shared" si="1"/>
        <v>0</v>
      </c>
      <c r="AA7" s="504"/>
      <c r="AB7" s="505"/>
      <c r="AC7" s="504"/>
      <c r="AD7" s="505"/>
      <c r="AE7" s="504"/>
      <c r="AF7" s="505"/>
      <c r="AG7" s="504"/>
      <c r="AH7" s="505"/>
      <c r="AI7" s="504"/>
      <c r="AJ7" s="506"/>
      <c r="AK7" s="504"/>
      <c r="AL7" s="506"/>
      <c r="AM7" s="504"/>
      <c r="AN7" s="506"/>
    </row>
    <row r="8" spans="1:40" ht="20.25" customHeight="1">
      <c r="A8" s="477" t="s">
        <v>332</v>
      </c>
      <c r="B8" s="479" t="s">
        <v>333</v>
      </c>
      <c r="C8" s="507">
        <f t="shared" si="0"/>
        <v>0</v>
      </c>
      <c r="D8" s="508">
        <f t="shared" si="0"/>
        <v>0</v>
      </c>
      <c r="E8" s="507">
        <f t="shared" si="0"/>
        <v>0</v>
      </c>
      <c r="F8" s="508">
        <f t="shared" si="0"/>
        <v>0</v>
      </c>
      <c r="G8" s="507">
        <f t="shared" si="0"/>
        <v>0</v>
      </c>
      <c r="H8" s="508">
        <f t="shared" si="0"/>
        <v>0</v>
      </c>
      <c r="I8" s="507">
        <f t="shared" si="0"/>
        <v>0</v>
      </c>
      <c r="J8" s="508">
        <f>ROUND(AH8,2)</f>
        <v>0</v>
      </c>
      <c r="K8" s="972">
        <f t="shared" si="1"/>
        <v>0</v>
      </c>
      <c r="L8" s="969">
        <f t="shared" si="1"/>
        <v>0</v>
      </c>
      <c r="M8" s="972">
        <f t="shared" si="1"/>
        <v>0</v>
      </c>
      <c r="N8" s="969">
        <f t="shared" si="1"/>
        <v>0</v>
      </c>
      <c r="O8" s="972">
        <f t="shared" si="1"/>
        <v>0</v>
      </c>
      <c r="P8" s="969">
        <f t="shared" si="1"/>
        <v>0</v>
      </c>
      <c r="AA8" s="507"/>
      <c r="AB8" s="508"/>
      <c r="AC8" s="507"/>
      <c r="AD8" s="508"/>
      <c r="AE8" s="507"/>
      <c r="AF8" s="508"/>
      <c r="AG8" s="507"/>
      <c r="AH8" s="508"/>
      <c r="AI8" s="507"/>
      <c r="AJ8" s="509"/>
      <c r="AK8" s="507"/>
      <c r="AL8" s="509"/>
      <c r="AM8" s="507"/>
      <c r="AN8" s="509"/>
    </row>
    <row r="9" spans="1:40" ht="20.25" customHeight="1">
      <c r="A9" s="477" t="s">
        <v>405</v>
      </c>
      <c r="B9" s="479" t="s">
        <v>406</v>
      </c>
      <c r="C9" s="510">
        <f t="shared" si="0"/>
        <v>0</v>
      </c>
      <c r="D9" s="505">
        <f t="shared" si="0"/>
        <v>0</v>
      </c>
      <c r="E9" s="510">
        <f t="shared" si="0"/>
        <v>0</v>
      </c>
      <c r="F9" s="505">
        <f t="shared" si="0"/>
        <v>0</v>
      </c>
      <c r="G9" s="510">
        <f t="shared" si="0"/>
        <v>0</v>
      </c>
      <c r="H9" s="505">
        <f t="shared" si="0"/>
        <v>0</v>
      </c>
      <c r="I9" s="510">
        <f t="shared" si="0"/>
        <v>0</v>
      </c>
      <c r="J9" s="505">
        <f>ROUND(AH9,2)</f>
        <v>0</v>
      </c>
      <c r="K9" s="973">
        <f t="shared" si="1"/>
        <v>0</v>
      </c>
      <c r="L9" s="971">
        <f t="shared" si="1"/>
        <v>0</v>
      </c>
      <c r="M9" s="973">
        <f t="shared" si="1"/>
        <v>0</v>
      </c>
      <c r="N9" s="971">
        <f t="shared" si="1"/>
        <v>0</v>
      </c>
      <c r="O9" s="973">
        <f t="shared" si="1"/>
        <v>0</v>
      </c>
      <c r="P9" s="971">
        <f t="shared" si="1"/>
        <v>0</v>
      </c>
      <c r="AA9" s="510"/>
      <c r="AB9" s="505"/>
      <c r="AC9" s="510"/>
      <c r="AD9" s="505"/>
      <c r="AE9" s="510"/>
      <c r="AF9" s="505"/>
      <c r="AG9" s="510"/>
      <c r="AH9" s="505"/>
      <c r="AI9" s="510"/>
      <c r="AJ9" s="506"/>
      <c r="AK9" s="510"/>
      <c r="AL9" s="506"/>
      <c r="AM9" s="510"/>
      <c r="AN9" s="506"/>
    </row>
    <row r="10" spans="1:40" ht="20.25" customHeight="1" thickBot="1">
      <c r="A10" s="477" t="s">
        <v>334</v>
      </c>
      <c r="B10" s="480" t="s">
        <v>335</v>
      </c>
      <c r="C10" s="510">
        <f t="shared" si="0"/>
        <v>0</v>
      </c>
      <c r="D10" s="505">
        <f t="shared" si="0"/>
        <v>0</v>
      </c>
      <c r="E10" s="510">
        <f t="shared" si="0"/>
        <v>0</v>
      </c>
      <c r="F10" s="505">
        <f t="shared" si="0"/>
        <v>0</v>
      </c>
      <c r="G10" s="510">
        <f t="shared" si="0"/>
        <v>0</v>
      </c>
      <c r="H10" s="505">
        <f t="shared" si="0"/>
        <v>0</v>
      </c>
      <c r="I10" s="510">
        <f t="shared" si="0"/>
        <v>0</v>
      </c>
      <c r="J10" s="505">
        <f>ROUND(AH10,2)</f>
        <v>0</v>
      </c>
      <c r="K10" s="973">
        <f t="shared" si="1"/>
        <v>0</v>
      </c>
      <c r="L10" s="971">
        <f t="shared" si="1"/>
        <v>0</v>
      </c>
      <c r="M10" s="973">
        <f t="shared" si="1"/>
        <v>0</v>
      </c>
      <c r="N10" s="971">
        <f t="shared" si="1"/>
        <v>0</v>
      </c>
      <c r="O10" s="973">
        <f t="shared" si="1"/>
        <v>0</v>
      </c>
      <c r="P10" s="971">
        <f t="shared" si="1"/>
        <v>0</v>
      </c>
      <c r="AA10" s="510"/>
      <c r="AB10" s="505"/>
      <c r="AC10" s="510"/>
      <c r="AD10" s="505"/>
      <c r="AE10" s="510"/>
      <c r="AF10" s="505"/>
      <c r="AG10" s="510"/>
      <c r="AH10" s="505"/>
      <c r="AI10" s="510"/>
      <c r="AJ10" s="506"/>
      <c r="AK10" s="510"/>
      <c r="AL10" s="506"/>
      <c r="AM10" s="510"/>
      <c r="AN10" s="506"/>
    </row>
    <row r="11" spans="1:40" ht="33" customHeight="1" thickTop="1" thickBot="1">
      <c r="A11" s="18" t="s">
        <v>107</v>
      </c>
      <c r="B11" s="16"/>
      <c r="C11" s="920">
        <f t="shared" ref="C11:L11" si="2">SUM(C6:C10)</f>
        <v>0</v>
      </c>
      <c r="D11" s="921">
        <f t="shared" si="2"/>
        <v>0</v>
      </c>
      <c r="E11" s="920">
        <f t="shared" si="2"/>
        <v>0</v>
      </c>
      <c r="F11" s="921">
        <f t="shared" si="2"/>
        <v>0</v>
      </c>
      <c r="G11" s="920">
        <f t="shared" si="2"/>
        <v>0</v>
      </c>
      <c r="H11" s="921">
        <f t="shared" si="2"/>
        <v>0</v>
      </c>
      <c r="I11" s="920">
        <f t="shared" si="2"/>
        <v>0</v>
      </c>
      <c r="J11" s="921">
        <f t="shared" si="2"/>
        <v>0</v>
      </c>
      <c r="K11" s="920">
        <f t="shared" si="2"/>
        <v>0</v>
      </c>
      <c r="L11" s="922">
        <f t="shared" si="2"/>
        <v>0</v>
      </c>
      <c r="M11" s="920">
        <f>SUM(M6:M10)</f>
        <v>0</v>
      </c>
      <c r="N11" s="922">
        <f>SUM(N6:N10)</f>
        <v>0</v>
      </c>
      <c r="O11" s="920">
        <f>SUM(O6:O10)</f>
        <v>0</v>
      </c>
      <c r="P11" s="922">
        <f>SUM(P6:P10)</f>
        <v>0</v>
      </c>
      <c r="AA11" s="920">
        <f t="shared" ref="AA11:AJ11" si="3">SUM(AA6:AA10)</f>
        <v>0</v>
      </c>
      <c r="AB11" s="921">
        <f t="shared" si="3"/>
        <v>0</v>
      </c>
      <c r="AC11" s="920">
        <f t="shared" si="3"/>
        <v>0</v>
      </c>
      <c r="AD11" s="921">
        <f t="shared" si="3"/>
        <v>0</v>
      </c>
      <c r="AE11" s="920">
        <f t="shared" si="3"/>
        <v>0</v>
      </c>
      <c r="AF11" s="921">
        <f t="shared" si="3"/>
        <v>0</v>
      </c>
      <c r="AG11" s="920">
        <f t="shared" si="3"/>
        <v>0</v>
      </c>
      <c r="AH11" s="921">
        <f t="shared" si="3"/>
        <v>0</v>
      </c>
      <c r="AI11" s="920">
        <f t="shared" si="3"/>
        <v>0</v>
      </c>
      <c r="AJ11" s="922">
        <f t="shared" si="3"/>
        <v>0</v>
      </c>
      <c r="AK11" s="920">
        <f>SUM(AK6:AK10)</f>
        <v>0</v>
      </c>
      <c r="AL11" s="922">
        <f>SUM(AL6:AL10)</f>
        <v>0</v>
      </c>
      <c r="AM11" s="920">
        <f>SUM(AM6:AM10)</f>
        <v>0</v>
      </c>
      <c r="AN11" s="922">
        <f>SUM(AN6:AN10)</f>
        <v>0</v>
      </c>
    </row>
    <row r="12" spans="1:40" ht="8.25" customHeight="1">
      <c r="A12" s="8"/>
      <c r="B12" s="9"/>
      <c r="C12" s="10"/>
      <c r="D12" s="11"/>
      <c r="E12" s="10"/>
      <c r="F12" s="11"/>
      <c r="G12" s="10"/>
      <c r="H12" s="11"/>
      <c r="I12" s="10"/>
      <c r="J12" s="11"/>
      <c r="K12" s="10"/>
      <c r="L12" s="11"/>
      <c r="AA12" s="10"/>
      <c r="AB12" s="11"/>
      <c r="AC12" s="10"/>
      <c r="AD12" s="11"/>
      <c r="AE12" s="10"/>
      <c r="AF12" s="11"/>
      <c r="AG12" s="10"/>
      <c r="AH12" s="11"/>
      <c r="AI12" s="10"/>
      <c r="AJ12" s="11"/>
    </row>
    <row r="13" spans="1:40" ht="13.2">
      <c r="A13" s="102" t="s">
        <v>169</v>
      </c>
    </row>
    <row r="14" spans="1:40" ht="13.2">
      <c r="A14" s="102" t="s">
        <v>170</v>
      </c>
    </row>
  </sheetData>
  <sheetProtection password="EA98" sheet="1" formatColumns="0" selectLockedCells="1"/>
  <mergeCells count="8">
    <mergeCell ref="G2:L2"/>
    <mergeCell ref="AE2:AJ2"/>
    <mergeCell ref="AM4:AN4"/>
    <mergeCell ref="AK4:AL4"/>
    <mergeCell ref="AI4:AJ4"/>
    <mergeCell ref="O4:P4"/>
    <mergeCell ref="M4:N4"/>
    <mergeCell ref="K4:L4"/>
  </mergeCells>
  <phoneticPr fontId="30" type="noConversion"/>
  <dataValidations count="2">
    <dataValidation type="decimal" allowBlank="1" showInputMessage="1" showErrorMessage="1" promptTitle="ATTENZIONE!" prompt="Inserire solo numeri decimali con due cifre dopo la virgola" sqref="C6:J10 AA6:AH10">
      <formula1>0</formula1>
      <formula2>9999999</formula2>
    </dataValidation>
    <dataValidation type="whole" allowBlank="1" showErrorMessage="1" promptTitle="ATTENZIONE!" prompt="Inserire solo numeri decimali con due cifre dopo la virgola" sqref="K6:P10 AI6:AN10">
      <formula1>0</formula1>
      <formula2>9999999</formula2>
    </dataValidation>
  </dataValidations>
  <printOptions horizontalCentered="1" verticalCentered="1"/>
  <pageMargins left="0" right="0" top="0.19685039370078741" bottom="0.31496062992125984" header="0.51181102362204722" footer="0.51181102362204722"/>
  <pageSetup paperSize="9" scale="90" orientation="landscape" horizontalDpi="300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34"/>
  <dimension ref="A1:T31"/>
  <sheetViews>
    <sheetView zoomScaleNormal="100" workbookViewId="0">
      <selection activeCell="D12" sqref="D12"/>
    </sheetView>
  </sheetViews>
  <sheetFormatPr defaultColWidth="9.28515625" defaultRowHeight="10.199999999999999"/>
  <cols>
    <col min="1" max="1" width="6.140625" style="594" bestFit="1" customWidth="1"/>
    <col min="2" max="2" width="13" style="590" customWidth="1"/>
    <col min="3" max="3" width="29.85546875" style="590" customWidth="1"/>
    <col min="4" max="11" width="13.42578125" style="590" customWidth="1"/>
    <col min="12" max="19" width="7.85546875" style="590" hidden="1" customWidth="1"/>
    <col min="20" max="20" width="9.28515625" style="590" hidden="1" customWidth="1"/>
    <col min="21" max="16384" width="9.28515625" style="590"/>
  </cols>
  <sheetData>
    <row r="1" spans="1:19" ht="23.25" customHeight="1">
      <c r="A1" s="594" t="str">
        <f>SI_1!A2</f>
        <v>RALN</v>
      </c>
      <c r="B1" s="1425" t="str">
        <f>'t1'!A1</f>
        <v>COMPARTO REGIONI ED AUTONOMIE LOCALI - anno 2017</v>
      </c>
      <c r="C1" s="1425"/>
      <c r="D1" s="1425"/>
      <c r="E1" s="1425"/>
      <c r="F1" s="1425"/>
      <c r="G1" s="1425"/>
      <c r="H1" s="1425"/>
      <c r="I1" s="1425"/>
      <c r="J1" s="1425"/>
      <c r="K1" s="1425"/>
      <c r="L1" s="1425"/>
      <c r="M1" s="1425"/>
      <c r="N1" s="1425"/>
      <c r="O1" s="1425"/>
      <c r="P1" s="1425"/>
      <c r="Q1" s="1425"/>
      <c r="R1" s="1425"/>
      <c r="S1" s="1425"/>
    </row>
    <row r="2" spans="1:19"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</row>
    <row r="3" spans="1:19" ht="23.25" customHeight="1">
      <c r="D3" s="592"/>
      <c r="E3" s="592"/>
      <c r="F3" s="592"/>
      <c r="G3" s="592"/>
      <c r="H3" s="592"/>
      <c r="I3" s="592"/>
      <c r="J3" s="614"/>
      <c r="K3" s="614"/>
      <c r="M3" s="593"/>
      <c r="N3" s="593"/>
      <c r="O3" s="593"/>
      <c r="P3" s="593"/>
      <c r="Q3" s="593"/>
      <c r="R3" s="593"/>
    </row>
    <row r="4" spans="1:19" ht="11.4">
      <c r="D4" s="595"/>
    </row>
    <row r="6" spans="1:19" ht="15" hidden="1" customHeight="1" thickTop="1">
      <c r="B6" s="1426"/>
      <c r="C6" s="1427"/>
      <c r="D6" s="1428"/>
      <c r="E6" s="1429"/>
      <c r="F6" s="1429"/>
      <c r="G6" s="1429"/>
      <c r="H6" s="1429"/>
      <c r="I6" s="1429"/>
      <c r="J6" s="1429"/>
      <c r="K6" s="1430"/>
      <c r="L6" s="1428"/>
      <c r="M6" s="1429"/>
      <c r="N6" s="1429"/>
      <c r="O6" s="1429"/>
      <c r="P6" s="1429"/>
      <c r="Q6" s="1429"/>
      <c r="R6" s="1429"/>
      <c r="S6" s="1430"/>
    </row>
    <row r="7" spans="1:19" ht="13.5" hidden="1" customHeight="1">
      <c r="B7" s="1426"/>
      <c r="C7" s="1427"/>
      <c r="D7" s="1431"/>
      <c r="E7" s="1426"/>
      <c r="F7" s="1426"/>
      <c r="G7" s="1426"/>
      <c r="H7" s="1426"/>
      <c r="I7" s="1426"/>
      <c r="J7" s="1426"/>
      <c r="K7" s="1432"/>
      <c r="L7" s="1431"/>
      <c r="M7" s="1426"/>
      <c r="N7" s="1426"/>
      <c r="O7" s="1426"/>
      <c r="P7" s="1426"/>
      <c r="Q7" s="1426"/>
      <c r="R7" s="1426"/>
      <c r="S7" s="1432"/>
    </row>
    <row r="8" spans="1:19" ht="60" customHeight="1">
      <c r="B8" s="1426" t="s">
        <v>480</v>
      </c>
      <c r="C8" s="1427"/>
      <c r="D8" s="1423" t="s">
        <v>431</v>
      </c>
      <c r="E8" s="1424"/>
      <c r="F8" s="1424" t="s">
        <v>432</v>
      </c>
      <c r="G8" s="1424"/>
      <c r="H8" s="1424" t="s">
        <v>433</v>
      </c>
      <c r="I8" s="1424"/>
      <c r="J8" s="1424" t="s">
        <v>434</v>
      </c>
      <c r="K8" s="1433"/>
      <c r="L8" s="1435"/>
      <c r="M8" s="1424"/>
      <c r="N8" s="1424"/>
      <c r="O8" s="1424"/>
      <c r="P8" s="1424"/>
      <c r="Q8" s="1424"/>
      <c r="R8" s="1424"/>
      <c r="S8" s="1433"/>
    </row>
    <row r="9" spans="1:19" ht="12">
      <c r="B9" s="1424" t="s">
        <v>435</v>
      </c>
      <c r="C9" s="1434"/>
      <c r="D9" s="602" t="s">
        <v>122</v>
      </c>
      <c r="E9" s="601" t="s">
        <v>123</v>
      </c>
      <c r="F9" s="600" t="s">
        <v>122</v>
      </c>
      <c r="G9" s="601" t="s">
        <v>123</v>
      </c>
      <c r="H9" s="600" t="s">
        <v>122</v>
      </c>
      <c r="I9" s="601" t="s">
        <v>123</v>
      </c>
      <c r="J9" s="600" t="s">
        <v>122</v>
      </c>
      <c r="K9" s="603" t="s">
        <v>123</v>
      </c>
      <c r="L9" s="602"/>
      <c r="M9" s="601"/>
      <c r="N9" s="600"/>
      <c r="O9" s="601"/>
      <c r="P9" s="600"/>
      <c r="Q9" s="601"/>
      <c r="R9" s="600"/>
      <c r="S9" s="603"/>
    </row>
    <row r="10" spans="1:19" ht="30.75" customHeight="1">
      <c r="A10" s="594" t="s">
        <v>436</v>
      </c>
      <c r="B10" s="1424" t="s">
        <v>437</v>
      </c>
      <c r="C10" s="1434"/>
      <c r="D10" s="744"/>
      <c r="E10" s="624"/>
      <c r="F10" s="624"/>
      <c r="G10" s="624"/>
      <c r="H10" s="625"/>
      <c r="I10" s="625"/>
      <c r="J10" s="625"/>
      <c r="K10" s="627"/>
      <c r="L10" s="626"/>
      <c r="M10" s="625"/>
      <c r="N10" s="625"/>
      <c r="O10" s="625"/>
      <c r="P10" s="625"/>
      <c r="Q10" s="625"/>
      <c r="R10" s="625"/>
      <c r="S10" s="627"/>
    </row>
    <row r="11" spans="1:19" ht="8.1" customHeight="1">
      <c r="B11" s="1436"/>
      <c r="C11" s="1436"/>
      <c r="D11" s="1436"/>
      <c r="E11" s="1436"/>
      <c r="F11" s="1436"/>
      <c r="G11" s="1436"/>
      <c r="H11" s="1436"/>
      <c r="I11" s="1436"/>
      <c r="J11" s="1436"/>
      <c r="K11" s="1436"/>
      <c r="L11" s="1436"/>
      <c r="M11" s="1436"/>
      <c r="N11" s="1436"/>
      <c r="O11" s="1436"/>
      <c r="P11" s="1436"/>
      <c r="Q11" s="1436"/>
      <c r="R11" s="1436"/>
      <c r="S11" s="1436"/>
    </row>
    <row r="12" spans="1:19" ht="15" customHeight="1">
      <c r="A12" s="594" t="str">
        <f>'t2'!B6</f>
        <v>CD</v>
      </c>
      <c r="B12" s="1426" t="s">
        <v>438</v>
      </c>
      <c r="C12" s="604" t="str">
        <f>'t2'!A6</f>
        <v>Categoria D</v>
      </c>
      <c r="D12" s="628"/>
      <c r="E12" s="625"/>
      <c r="F12" s="625"/>
      <c r="G12" s="625"/>
      <c r="H12" s="625"/>
      <c r="I12" s="625"/>
      <c r="J12" s="625"/>
      <c r="K12" s="627"/>
      <c r="L12" s="626"/>
      <c r="M12" s="625"/>
      <c r="N12" s="625"/>
      <c r="O12" s="625"/>
      <c r="P12" s="625"/>
      <c r="Q12" s="625"/>
      <c r="R12" s="625"/>
      <c r="S12" s="627"/>
    </row>
    <row r="13" spans="1:19" ht="11.4">
      <c r="A13" s="594" t="str">
        <f>'t2'!B7</f>
        <v>CC</v>
      </c>
      <c r="B13" s="1426"/>
      <c r="C13" s="604" t="str">
        <f>'t2'!A7</f>
        <v>Categoria C</v>
      </c>
      <c r="D13" s="628"/>
      <c r="E13" s="625"/>
      <c r="F13" s="625"/>
      <c r="G13" s="625"/>
      <c r="H13" s="625"/>
      <c r="I13" s="625"/>
      <c r="J13" s="625"/>
      <c r="K13" s="627"/>
      <c r="L13" s="626"/>
      <c r="M13" s="625"/>
      <c r="N13" s="625"/>
      <c r="O13" s="625"/>
      <c r="P13" s="625"/>
      <c r="Q13" s="625"/>
      <c r="R13" s="625"/>
      <c r="S13" s="627"/>
    </row>
    <row r="14" spans="1:19" ht="11.4">
      <c r="A14" s="594" t="str">
        <f>'t2'!B8</f>
        <v>CB</v>
      </c>
      <c r="B14" s="1426"/>
      <c r="C14" s="604" t="str">
        <f>'t2'!A8</f>
        <v>Categoria B</v>
      </c>
      <c r="D14" s="628"/>
      <c r="E14" s="625"/>
      <c r="F14" s="625"/>
      <c r="G14" s="625"/>
      <c r="H14" s="625"/>
      <c r="I14" s="625"/>
      <c r="J14" s="625"/>
      <c r="K14" s="627"/>
      <c r="L14" s="626"/>
      <c r="M14" s="625"/>
      <c r="N14" s="625"/>
      <c r="O14" s="625"/>
      <c r="P14" s="625"/>
      <c r="Q14" s="625"/>
      <c r="R14" s="625"/>
      <c r="S14" s="627"/>
    </row>
    <row r="15" spans="1:19" ht="11.4">
      <c r="A15" s="594" t="str">
        <f>'t2'!B9</f>
        <v>CA</v>
      </c>
      <c r="B15" s="1426"/>
      <c r="C15" s="604" t="str">
        <f>'t2'!A9</f>
        <v>Categoria A</v>
      </c>
      <c r="D15" s="628"/>
      <c r="E15" s="625"/>
      <c r="F15" s="625"/>
      <c r="G15" s="625"/>
      <c r="H15" s="625"/>
      <c r="I15" s="625"/>
      <c r="J15" s="625"/>
      <c r="K15" s="627"/>
      <c r="L15" s="626"/>
      <c r="M15" s="625"/>
      <c r="N15" s="625"/>
      <c r="O15" s="625"/>
      <c r="P15" s="625"/>
      <c r="Q15" s="625"/>
      <c r="R15" s="625"/>
      <c r="S15" s="627"/>
    </row>
    <row r="16" spans="1:19" ht="12" thickBot="1">
      <c r="A16" s="594" t="str">
        <f>'t2'!B10</f>
        <v>PC</v>
      </c>
      <c r="B16" s="1426"/>
      <c r="C16" s="606" t="str">
        <f>'t2'!A10</f>
        <v>Personale contrattista</v>
      </c>
      <c r="D16" s="629"/>
      <c r="E16" s="630"/>
      <c r="F16" s="630"/>
      <c r="G16" s="630"/>
      <c r="H16" s="630"/>
      <c r="I16" s="630"/>
      <c r="J16" s="630"/>
      <c r="K16" s="632"/>
      <c r="L16" s="631"/>
      <c r="M16" s="630"/>
      <c r="N16" s="630"/>
      <c r="O16" s="630"/>
      <c r="P16" s="630"/>
      <c r="Q16" s="630"/>
      <c r="R16" s="630"/>
      <c r="S16" s="632"/>
    </row>
    <row r="17" spans="1:20" s="598" customFormat="1" ht="12.6">
      <c r="A17" s="596"/>
      <c r="B17" s="1426"/>
      <c r="C17" s="605" t="s">
        <v>439</v>
      </c>
      <c r="D17" s="633">
        <f t="shared" ref="D17:K17" si="0">SUM(D12:D16)</f>
        <v>0</v>
      </c>
      <c r="E17" s="634">
        <f t="shared" si="0"/>
        <v>0</v>
      </c>
      <c r="F17" s="634">
        <f t="shared" si="0"/>
        <v>0</v>
      </c>
      <c r="G17" s="634">
        <f t="shared" si="0"/>
        <v>0</v>
      </c>
      <c r="H17" s="634">
        <f t="shared" si="0"/>
        <v>0</v>
      </c>
      <c r="I17" s="634">
        <f t="shared" si="0"/>
        <v>0</v>
      </c>
      <c r="J17" s="634">
        <f t="shared" si="0"/>
        <v>0</v>
      </c>
      <c r="K17" s="635">
        <f t="shared" si="0"/>
        <v>0</v>
      </c>
      <c r="L17" s="633"/>
      <c r="M17" s="634"/>
      <c r="N17" s="634"/>
      <c r="O17" s="634"/>
      <c r="P17" s="634"/>
      <c r="Q17" s="634"/>
      <c r="R17" s="634"/>
      <c r="S17" s="635"/>
      <c r="T17" s="597">
        <f>SUM(D17:S17,D10:S10)</f>
        <v>0</v>
      </c>
    </row>
    <row r="25" spans="1:20" ht="16.5" customHeight="1"/>
    <row r="26" spans="1:20" ht="13.2">
      <c r="F26" s="599"/>
      <c r="G26" s="599"/>
    </row>
    <row r="27" spans="1:20" ht="13.2">
      <c r="F27" s="599"/>
      <c r="G27" s="599"/>
    </row>
    <row r="29" spans="1:20" ht="13.2">
      <c r="F29" s="599"/>
      <c r="G29" s="599"/>
    </row>
    <row r="31" spans="1:20" ht="13.2">
      <c r="F31" s="599"/>
      <c r="G31" s="599"/>
    </row>
  </sheetData>
  <sheetProtection password="EA98" sheet="1" formatColumns="0" selectLockedCells="1"/>
  <mergeCells count="17">
    <mergeCell ref="B12:B17"/>
    <mergeCell ref="P8:Q8"/>
    <mergeCell ref="R8:S8"/>
    <mergeCell ref="B9:C9"/>
    <mergeCell ref="B10:C10"/>
    <mergeCell ref="J8:K8"/>
    <mergeCell ref="L8:M8"/>
    <mergeCell ref="N8:O8"/>
    <mergeCell ref="B11:S11"/>
    <mergeCell ref="B8:C8"/>
    <mergeCell ref="D8:E8"/>
    <mergeCell ref="F8:G8"/>
    <mergeCell ref="H8:I8"/>
    <mergeCell ref="B1:S1"/>
    <mergeCell ref="B6:C7"/>
    <mergeCell ref="D6:K7"/>
    <mergeCell ref="L6:S7"/>
  </mergeCells>
  <phoneticPr fontId="0" type="noConversion"/>
  <dataValidations count="1">
    <dataValidation type="whole" allowBlank="1" showInputMessage="1" showErrorMessage="1" errorTitle="ERRORE" error="INSERIRE SOLO NUMERI INTERI COMPRESI TRA 0 E 9999999" sqref="D10:S10 D12:S16">
      <formula1>0</formula1>
      <formula2>9999999</formula2>
    </dataValidation>
  </dataValidations>
  <pageMargins left="0.39" right="0.4" top="1" bottom="1" header="0.5" footer="0.5"/>
  <pageSetup paperSize="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42</vt:i4>
      </vt:variant>
      <vt:variant>
        <vt:lpstr>Intervalli denominati</vt:lpstr>
      </vt:variant>
      <vt:variant>
        <vt:i4>39</vt:i4>
      </vt:variant>
    </vt:vector>
  </HeadingPairs>
  <TitlesOfParts>
    <vt:vector size="81" baseType="lpstr">
      <vt:lpstr>SI_1</vt:lpstr>
      <vt:lpstr>COCOCO</vt:lpstr>
      <vt:lpstr>SI_1A(COMUNI-PROVINCE-CITTA_ME)</vt:lpstr>
      <vt:lpstr>SI_1A(UNIONE_COMUNI)</vt:lpstr>
      <vt:lpstr>SI_1A(COMUNITA_MONTANE)</vt:lpstr>
      <vt:lpstr>SI_1A_CONV</vt:lpstr>
      <vt:lpstr>t1</vt:lpstr>
      <vt:lpstr>t2</vt:lpstr>
      <vt:lpstr>t2A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t15(1)</vt:lpstr>
      <vt:lpstr>t15(2)</vt:lpstr>
      <vt:lpstr>SICI(1)</vt:lpstr>
      <vt:lpstr>SICI(2)</vt:lpstr>
      <vt:lpstr>Tabella Riconciliazione</vt:lpstr>
      <vt:lpstr>Valori Medi</vt:lpstr>
      <vt:lpstr>Squadratura 1</vt:lpstr>
      <vt:lpstr>Squadratura 2</vt:lpstr>
      <vt:lpstr>Squadratura 3</vt:lpstr>
      <vt:lpstr>Squadratura 4</vt:lpstr>
      <vt:lpstr>Squadratura 7</vt:lpstr>
      <vt:lpstr>Incongruenze 1 e 11</vt:lpstr>
      <vt:lpstr>Incongruenza 2</vt:lpstr>
      <vt:lpstr>Incongruenze 3, 12 e 13</vt:lpstr>
      <vt:lpstr>Incongruenza 4 e controlli t14</vt:lpstr>
      <vt:lpstr>Incongruenza 5</vt:lpstr>
      <vt:lpstr>Incongruenza 6</vt:lpstr>
      <vt:lpstr>Incongruenza 7</vt:lpstr>
      <vt:lpstr>Incongruenza 8</vt:lpstr>
      <vt:lpstr>Incongruenza 10</vt:lpstr>
      <vt:lpstr>Incongruenza 14</vt:lpstr>
      <vt:lpstr>COCOCO!Area_stampa</vt:lpstr>
      <vt:lpstr>'Incongruenze 1 e 11'!Area_stampa</vt:lpstr>
      <vt:lpstr>'Incongruenze 3, 12 e 13'!Area_stampa</vt:lpstr>
      <vt:lpstr>SI_1!Area_stampa</vt:lpstr>
      <vt:lpstr>'SI_1A(COMUNI-PROVINCE-CITTA_ME)'!Area_stampa</vt:lpstr>
      <vt:lpstr>'SI_1A(COMUNITA_MONTANE)'!Area_stampa</vt:lpstr>
      <vt:lpstr>'SI_1A(UNIONE_COMUNI)'!Area_stampa</vt:lpstr>
      <vt:lpstr>SI_1A_CONV!Area_stampa</vt:lpstr>
      <vt:lpstr>'SICI(1)'!Area_stampa</vt:lpstr>
      <vt:lpstr>'SICI(2)'!Area_stampa</vt:lpstr>
      <vt:lpstr>'Squadratura 1'!Area_stampa</vt:lpstr>
      <vt:lpstr>'Squadratura 2'!Area_stampa</vt:lpstr>
      <vt:lpstr>'Squadratura 3'!Area_stampa</vt:lpstr>
      <vt:lpstr>'Squadratura 4'!Area_stampa</vt:lpstr>
      <vt:lpstr>'Squadratura 7'!Area_stampa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't15(1)'!Area_stampa</vt:lpstr>
      <vt:lpstr>'t15(2)'!Area_stampa</vt:lpstr>
      <vt:lpstr>t2A!Area_stampa</vt:lpstr>
      <vt:lpstr>'t3'!Area_stampa</vt:lpstr>
      <vt:lpstr>'t5'!Area_stampa</vt:lpstr>
      <vt:lpstr>'t7'!Area_stampa</vt:lpstr>
      <vt:lpstr>'t8'!Area_stampa</vt:lpstr>
      <vt:lpstr>'t9'!Area_stampa</vt:lpstr>
      <vt:lpstr>'Valori Medi'!Area_stampa</vt:lpstr>
      <vt:lpstr>'Incongruenze 3, 12 e 13'!Titoli_stampa</vt:lpstr>
      <vt:lpstr>'t1'!Titoli_stampa</vt:lpstr>
      <vt:lpstr>'t10'!Titoli_stampa</vt:lpstr>
      <vt:lpstr>'t12'!Titoli_stampa</vt:lpstr>
      <vt:lpstr>'t13'!Titoli_stampa</vt:lpstr>
      <vt:lpstr>'t15(2)'!Titoli_stampa</vt:lpstr>
      <vt:lpstr>'t2'!Titoli_stampa</vt:lpstr>
      <vt:lpstr>'t4'!Titoli_stampa</vt:lpstr>
      <vt:lpstr>'Valori Medi'!Titoli_stampa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 G. O. P. DIV.  VI</dc:creator>
  <cp:lastModifiedBy>scaroni</cp:lastModifiedBy>
  <cp:lastPrinted>2016-05-04T07:53:27Z</cp:lastPrinted>
  <dcterms:created xsi:type="dcterms:W3CDTF">1998-10-29T14:18:41Z</dcterms:created>
  <dcterms:modified xsi:type="dcterms:W3CDTF">2019-02-18T09:18:10Z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